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xl/vbaProjectSignature.bin" ContentType="application/vnd.ms-office.vbaProjectSignature"/>
  <Override PartName="/xl/vbaProjectSignatureAgile.bin" ContentType="application/vnd.ms-office.vbaProjectSignatureAgile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parshley\ownCloud\__SRCE 2.0\Website - Aug 2016\nvbond.org\downloads\"/>
    </mc:Choice>
  </mc:AlternateContent>
  <workbookProtection workbookPassword="CA7A" lockStructure="1"/>
  <bookViews>
    <workbookView xWindow="-15" yWindow="-15" windowWidth="10245" windowHeight="8355"/>
  </bookViews>
  <sheets>
    <sheet name="Source Data" sheetId="6" r:id="rId1"/>
    <sheet name="Equipment Costs" sheetId="2" r:id="rId2"/>
    <sheet name="Labor Rates" sheetId="7" r:id="rId3"/>
    <sheet name="Reclamation Material Costs" sheetId="10" r:id="rId4"/>
    <sheet name="Misc. Unit Costs" sheetId="5" r:id="rId5"/>
    <sheet name="Indirect Costs" sheetId="11" r:id="rId6"/>
  </sheets>
  <externalReferences>
    <externalReference r:id="rId7"/>
  </externalReferences>
  <definedNames>
    <definedName name="_Fill" hidden="1">#REF!</definedName>
    <definedName name="Ac2Ha">0.40468564</definedName>
    <definedName name="AllEquipRates">'Equipment Costs'!$B$11:$P$427</definedName>
    <definedName name="AllLaborRates">'Labor Rates'!$B$12:$AE$198</definedName>
    <definedName name="AuthorSource">'Source Data'!$B$5</definedName>
    <definedName name="DataCostBasis">'Source Data'!$B$4</definedName>
    <definedName name="DataFileDate">'Source Data'!$B$3</definedName>
    <definedName name="DataFileName">'Source Data'!$B$2</definedName>
    <definedName name="DataSourceType" localSheetId="2">'Labor Rates'!$B$2</definedName>
    <definedName name="DataSourceType">'Equipment Costs'!$B$2</definedName>
    <definedName name="DataUnits">'Source Data'!$B$8</definedName>
    <definedName name="DemolitionCostTable">'Misc. Unit Costs'!$C$29:$AF$36,'Misc. Unit Costs'!$C$38:$AF$45</definedName>
    <definedName name="DozerRates" localSheetId="2">'Labor Rates'!$C$12:$C$18</definedName>
    <definedName name="EquipmentGETTable">'Equipment Costs'!$B$224:$P$321</definedName>
    <definedName name="EquipmentOperatorLaborTable">'Labor Rates'!$A$99:$A$101,'Labor Rates'!$B$12:$AE$101,'Labor Rates'!$B$105:$AE$106</definedName>
    <definedName name="EquipmentPMTable">'Equipment Costs'!$B$121:$P$218</definedName>
    <definedName name="EquipmentRateTable">'Equipment Costs'!$B$13:$P$114</definedName>
    <definedName name="EquipmentTiresTable">'Equipment Costs'!$B$327:$P$427</definedName>
    <definedName name="ErosionLinerCostTable">'Misc. Unit Costs'!$C$157:$AF$163,'Misc. Unit Costs'!$C$166:$AF$169</definedName>
    <definedName name="FormatOfFile">"""Nevada Standardized Cost Estimator Data File"""</definedName>
    <definedName name="ft2_2_m2">0.09290304</definedName>
    <definedName name="ft2m">0.3048</definedName>
    <definedName name="FuelCostTable">'Reclamation Material Costs'!$C$83:$Q$94</definedName>
    <definedName name="IndirectCostFootnotes">'Indirect Costs'!$A$24:$A$36</definedName>
    <definedName name="IndirectCostTable">'Indirect Costs'!$A$10:$F$21</definedName>
    <definedName name="LaborerLaborTable">'Labor Rates'!$B$138:$AE$154,'Labor Rates'!$A$152:$A$154,'Labor Rates'!$B$157:$AE$159</definedName>
    <definedName name="LinearCostTable">'Misc. Unit Costs'!$C$101:$AF$109,'Misc. Unit Costs'!$C$111:$AF$118,'Misc. Unit Costs'!$C$121:$AF$124,'Misc. Unit Costs'!$C$144:$AF$144,'Misc. Unit Costs'!$C$146:$AF$148,'Misc. Unit Costs'!$C$151:$AF$153</definedName>
    <definedName name="MaintenanceCostTable">'Equipment Costs'!$B$121:$P$218</definedName>
    <definedName name="Metric">'Source Data'!$BC$8</definedName>
    <definedName name="MiscUnitCostNames">'Misc. Unit Costs'!$BB$6:$BB$180</definedName>
    <definedName name="MiscUnitCostsAll">'Misc. Unit Costs'!$C$11:$AF$182</definedName>
    <definedName name="MiscUnitCostsRegions">'Misc. Unit Costs'!$BD$4:$CG$4</definedName>
    <definedName name="MonitoringCostsTable">'Reclamation Material Costs'!$C$59:$Q$80</definedName>
    <definedName name="OtherAmendmentNames">'Reclamation Material Costs'!$A$40:$A$42</definedName>
    <definedName name="OtherFenceDemoNames">'Misc. Unit Costs'!$A$116:$A$117</definedName>
    <definedName name="OtherFenceInstallNames">'Misc. Unit Costs'!$A$106:$A$107</definedName>
    <definedName name="OtherFuelCostsNames">'Reclamation Material Costs'!$A$87:$B$91</definedName>
    <definedName name="OtherLaborInfo">'Labor Rates'!$A$166:$A$198</definedName>
    <definedName name="OtherMonitoringCostsNames">'Reclamation Material Costs'!$A$63:$B$77</definedName>
    <definedName name="OtherMulchNames">'Reclamation Material Costs'!$A$28:$A$30</definedName>
    <definedName name="OtherWellAbandonmentMaterialsNames">'Reclamation Material Costs'!$A$52:$B$53</definedName>
    <definedName name="_xlnm.Print_Area" localSheetId="1">'Equipment Costs'!$A$1:$F$428</definedName>
    <definedName name="_xlnm.Print_Area" localSheetId="2">'Labor Rates'!$A$10:$M$198</definedName>
    <definedName name="_xlnm.Print_Area" localSheetId="4">'Misc. Unit Costs'!$A$10:$N$182</definedName>
    <definedName name="_xlnm.Print_Area" localSheetId="3">'Reclamation Material Costs'!$A$1:$H$94</definedName>
    <definedName name="_xlnm.Print_Titles" localSheetId="1">'Equipment Costs'!$1:$8</definedName>
    <definedName name="_xlnm.Print_Titles" localSheetId="2">'Labor Rates'!$1:$9</definedName>
    <definedName name="_xlnm.Print_Titles" localSheetId="4">'Misc. Unit Costs'!$1:$9</definedName>
    <definedName name="ProjectManagementLaborTable">'Labor Rates'!$A$166:$A$172,'Labor Rates'!$C$161:$AE$172,'Labor Rates'!$A$183:$A$184,'Labor Rates'!$B$182:$AE$184</definedName>
    <definedName name="ProjectRegion">'[1]Property Information'!$BB$21</definedName>
    <definedName name="RegionInformationTable">'Source Data'!$B$14:$C$28</definedName>
    <definedName name="RegionNames">'Source Data'!$A$14:$B$28</definedName>
    <definedName name="Regions">'Source Data'!$B$14:$B$28</definedName>
    <definedName name="RentalHours">'Equipment Costs'!$B$7:$P$7</definedName>
    <definedName name="RevegetationCostTable">'Misc. Unit Costs'!$C$13:$AF$19,'Misc. Unit Costs'!$C$22:$AF$25</definedName>
    <definedName name="RevegetationMaterialsTable">'Reclamation Material Costs'!$C$12:$Q$45</definedName>
    <definedName name="TireCostTable">'Equipment Costs'!$B$341:$P$427</definedName>
    <definedName name="TruckDriverLaborTable">'Labor Rates'!$B$112:$AE$132,'Labor Rates'!$A$130:$A$132,'Labor Rates'!$B$135:$AE$136</definedName>
    <definedName name="UGOpeningCostTable">'Misc. Unit Costs'!$C$84:$AF$87,'Misc. Unit Costs'!$C$90:$AF$93,'Misc. Unit Costs'!$C$96:$AF$97</definedName>
    <definedName name="Validity">'Source Data'!$BA$1</definedName>
    <definedName name="WellAbandonmentMaterialsTable">'Reclamation Material Costs'!$C$48:$Q$56</definedName>
  </definedNames>
  <calcPr calcId="162913" calcMode="manual"/>
</workbook>
</file>

<file path=xl/calcChain.xml><?xml version="1.0" encoding="utf-8"?>
<calcChain xmlns="http://schemas.openxmlformats.org/spreadsheetml/2006/main">
  <c r="A372" i="2" l="1"/>
  <c r="A371" i="2"/>
  <c r="A370" i="2"/>
  <c r="A369" i="2"/>
  <c r="A368" i="2"/>
  <c r="A269" i="2"/>
  <c r="A268" i="2"/>
  <c r="A267" i="2"/>
  <c r="A266" i="2"/>
  <c r="A265" i="2"/>
  <c r="A166" i="2"/>
  <c r="A165" i="2"/>
  <c r="A164" i="2"/>
  <c r="A163" i="2"/>
  <c r="A162" i="2"/>
  <c r="A363" i="2"/>
  <c r="A260" i="2"/>
  <c r="A157" i="2"/>
  <c r="A417" i="2"/>
  <c r="A314" i="2"/>
  <c r="A211" i="2"/>
  <c r="A342" i="2"/>
  <c r="A239" i="2"/>
  <c r="A136" i="2"/>
  <c r="A365" i="2"/>
  <c r="A262" i="2"/>
  <c r="A159" i="2"/>
  <c r="C222" i="2"/>
  <c r="P325" i="2"/>
  <c r="O325" i="2"/>
  <c r="N325" i="2"/>
  <c r="M325" i="2"/>
  <c r="L325" i="2"/>
  <c r="K325" i="2"/>
  <c r="J325" i="2"/>
  <c r="I325" i="2"/>
  <c r="H325" i="2"/>
  <c r="G325" i="2"/>
  <c r="F325" i="2"/>
  <c r="E325" i="2"/>
  <c r="D325" i="2"/>
  <c r="C325" i="2"/>
  <c r="P222" i="2"/>
  <c r="O222" i="2"/>
  <c r="N222" i="2"/>
  <c r="M222" i="2"/>
  <c r="L222" i="2"/>
  <c r="K222" i="2"/>
  <c r="J222" i="2"/>
  <c r="I222" i="2"/>
  <c r="H222" i="2"/>
  <c r="G222" i="2"/>
  <c r="F222" i="2"/>
  <c r="E222" i="2"/>
  <c r="D222" i="2"/>
  <c r="A338" i="2"/>
  <c r="A337" i="2"/>
  <c r="A336" i="2"/>
  <c r="A335" i="2"/>
  <c r="A235" i="2"/>
  <c r="A234" i="2"/>
  <c r="A233" i="2"/>
  <c r="A232" i="2"/>
  <c r="A132" i="2"/>
  <c r="A131" i="2"/>
  <c r="A130" i="2"/>
  <c r="A129" i="2"/>
  <c r="A340" i="2"/>
  <c r="A127" i="2"/>
  <c r="A126" i="2"/>
  <c r="A125" i="2"/>
  <c r="A124" i="2"/>
  <c r="A123" i="2"/>
  <c r="A122" i="2"/>
  <c r="A121" i="2"/>
  <c r="A137" i="2"/>
  <c r="A135" i="2"/>
  <c r="A134" i="2"/>
  <c r="A145" i="2"/>
  <c r="A144" i="2"/>
  <c r="A143" i="2"/>
  <c r="A142" i="2"/>
  <c r="A141" i="2"/>
  <c r="A140" i="2"/>
  <c r="A139" i="2"/>
  <c r="A160" i="2"/>
  <c r="A158" i="2"/>
  <c r="A156" i="2"/>
  <c r="A155" i="2"/>
  <c r="A154" i="2"/>
  <c r="A153" i="2"/>
  <c r="A152" i="2"/>
  <c r="A151" i="2"/>
  <c r="A150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216" i="2"/>
  <c r="A215" i="2"/>
  <c r="A214" i="2"/>
  <c r="A213" i="2"/>
  <c r="A212" i="2"/>
  <c r="A210" i="2"/>
  <c r="A209" i="2"/>
  <c r="A208" i="2"/>
  <c r="A207" i="2"/>
  <c r="A206" i="2"/>
  <c r="A205" i="2"/>
  <c r="A203" i="2"/>
  <c r="A202" i="2"/>
  <c r="A319" i="2"/>
  <c r="A318" i="2"/>
  <c r="A317" i="2"/>
  <c r="A316" i="2"/>
  <c r="A315" i="2"/>
  <c r="A313" i="2"/>
  <c r="A312" i="2"/>
  <c r="A311" i="2"/>
  <c r="A310" i="2"/>
  <c r="A309" i="2"/>
  <c r="A308" i="2"/>
  <c r="A307" i="2"/>
  <c r="A306" i="2"/>
  <c r="A305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1" i="2"/>
  <c r="A280" i="2"/>
  <c r="A279" i="2"/>
  <c r="A277" i="2"/>
  <c r="A276" i="2"/>
  <c r="A275" i="2"/>
  <c r="A273" i="2"/>
  <c r="A272" i="2"/>
  <c r="A271" i="2"/>
  <c r="A230" i="2"/>
  <c r="A229" i="2"/>
  <c r="A228" i="2"/>
  <c r="A227" i="2"/>
  <c r="A226" i="2"/>
  <c r="A225" i="2"/>
  <c r="A224" i="2"/>
  <c r="A240" i="2"/>
  <c r="A238" i="2"/>
  <c r="A237" i="2"/>
  <c r="A248" i="2"/>
  <c r="A247" i="2"/>
  <c r="A246" i="2"/>
  <c r="A245" i="2"/>
  <c r="A244" i="2"/>
  <c r="A243" i="2"/>
  <c r="A242" i="2"/>
  <c r="A251" i="2"/>
  <c r="A250" i="2"/>
  <c r="A263" i="2"/>
  <c r="A261" i="2"/>
  <c r="A259" i="2"/>
  <c r="A258" i="2"/>
  <c r="A257" i="2"/>
  <c r="A255" i="2"/>
  <c r="A254" i="2"/>
  <c r="A253" i="2"/>
  <c r="A256" i="2"/>
  <c r="A333" i="2"/>
  <c r="A332" i="2"/>
  <c r="A331" i="2"/>
  <c r="A330" i="2"/>
  <c r="A329" i="2"/>
  <c r="A328" i="2"/>
  <c r="A327" i="2"/>
  <c r="A343" i="2"/>
  <c r="A341" i="2"/>
  <c r="A351" i="2"/>
  <c r="A350" i="2"/>
  <c r="A349" i="2"/>
  <c r="A348" i="2"/>
  <c r="A347" i="2"/>
  <c r="A346" i="2"/>
  <c r="A345" i="2"/>
  <c r="A366" i="2"/>
  <c r="A364" i="2"/>
  <c r="A362" i="2"/>
  <c r="A361" i="2"/>
  <c r="A360" i="2"/>
  <c r="A359" i="2"/>
  <c r="A358" i="2"/>
  <c r="A357" i="2"/>
  <c r="A356" i="2"/>
  <c r="A384" i="2"/>
  <c r="A383" i="2"/>
  <c r="A382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422" i="2"/>
  <c r="A421" i="2"/>
  <c r="A420" i="2"/>
  <c r="A419" i="2"/>
  <c r="A418" i="2"/>
  <c r="A416" i="2"/>
  <c r="A415" i="2"/>
  <c r="A414" i="2"/>
  <c r="A413" i="2"/>
  <c r="A412" i="2"/>
  <c r="A411" i="2"/>
  <c r="A410" i="2"/>
  <c r="A409" i="2"/>
  <c r="A204" i="2"/>
  <c r="BC8" i="6"/>
  <c r="B159" i="5" s="1"/>
  <c r="A408" i="2"/>
  <c r="A407" i="2"/>
  <c r="A385" i="2"/>
  <c r="A381" i="2"/>
  <c r="A380" i="2"/>
  <c r="A379" i="2"/>
  <c r="A378" i="2"/>
  <c r="A377" i="2"/>
  <c r="A376" i="2"/>
  <c r="A375" i="2"/>
  <c r="A374" i="2"/>
  <c r="A373" i="2"/>
  <c r="A355" i="2"/>
  <c r="A354" i="2"/>
  <c r="A353" i="2"/>
  <c r="A352" i="2"/>
  <c r="A344" i="2"/>
  <c r="A339" i="2"/>
  <c r="A278" i="2"/>
  <c r="A274" i="2"/>
  <c r="A178" i="2"/>
  <c r="A177" i="2"/>
  <c r="A176" i="2"/>
  <c r="A174" i="2"/>
  <c r="A173" i="2"/>
  <c r="A172" i="2"/>
  <c r="A170" i="2"/>
  <c r="A169" i="2"/>
  <c r="A168" i="2"/>
  <c r="A148" i="2"/>
  <c r="A147" i="2"/>
  <c r="B4" i="11"/>
  <c r="B2" i="6"/>
  <c r="B2" i="5" s="1"/>
  <c r="B3" i="5"/>
  <c r="B4" i="5"/>
  <c r="B5" i="5"/>
  <c r="C9" i="5"/>
  <c r="E9" i="5"/>
  <c r="G9" i="5"/>
  <c r="I9" i="5"/>
  <c r="K9" i="5"/>
  <c r="M9" i="5"/>
  <c r="O9" i="5"/>
  <c r="Q9" i="5"/>
  <c r="S9" i="5"/>
  <c r="U9" i="5"/>
  <c r="W9" i="5"/>
  <c r="Y9" i="5"/>
  <c r="AA9" i="5"/>
  <c r="AC9" i="5"/>
  <c r="AE9" i="5"/>
  <c r="B15" i="5"/>
  <c r="B2" i="10"/>
  <c r="B3" i="10"/>
  <c r="B4" i="10"/>
  <c r="C8" i="10"/>
  <c r="D8" i="10"/>
  <c r="E8" i="10"/>
  <c r="F8" i="10"/>
  <c r="G8" i="10"/>
  <c r="H8" i="10"/>
  <c r="I8" i="10"/>
  <c r="J8" i="10"/>
  <c r="K8" i="10"/>
  <c r="L8" i="10"/>
  <c r="M8" i="10"/>
  <c r="N8" i="10"/>
  <c r="O8" i="10"/>
  <c r="P8" i="10"/>
  <c r="Q8" i="10"/>
  <c r="B3" i="7"/>
  <c r="B4" i="7"/>
  <c r="BN4" i="7"/>
  <c r="BQ4" i="7"/>
  <c r="BP4" i="7" s="1"/>
  <c r="BO4" i="7" s="1"/>
  <c r="B5" i="7"/>
  <c r="B9" i="7"/>
  <c r="D9" i="7"/>
  <c r="F9" i="7"/>
  <c r="H9" i="7"/>
  <c r="J9" i="7"/>
  <c r="L9" i="7"/>
  <c r="N9" i="7"/>
  <c r="P9" i="7"/>
  <c r="R9" i="7"/>
  <c r="T9" i="7"/>
  <c r="V9" i="7"/>
  <c r="X9" i="7"/>
  <c r="Z9" i="7"/>
  <c r="AB9" i="7"/>
  <c r="AD9" i="7"/>
  <c r="B3" i="2"/>
  <c r="B4" i="2"/>
  <c r="B5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B222" i="2"/>
  <c r="B325" i="2"/>
  <c r="B1" i="6"/>
  <c r="C8" i="6"/>
  <c r="B11" i="6"/>
  <c r="B50" i="10" l="1"/>
  <c r="B84" i="5"/>
  <c r="A44" i="5"/>
  <c r="B147" i="5"/>
  <c r="B106" i="5"/>
  <c r="B127" i="5"/>
  <c r="B20" i="10"/>
  <c r="B169" i="5"/>
  <c r="B137" i="5"/>
  <c r="B115" i="5"/>
  <c r="B93" i="5"/>
  <c r="B45" i="5"/>
  <c r="B16" i="10"/>
  <c r="A163" i="5"/>
  <c r="B132" i="5"/>
  <c r="B113" i="5"/>
  <c r="A87" i="5"/>
  <c r="B41" i="5"/>
  <c r="B37" i="10"/>
  <c r="B146" i="5"/>
  <c r="B122" i="5"/>
  <c r="A104" i="5"/>
  <c r="B61" i="5"/>
  <c r="B2" i="2"/>
  <c r="B85" i="10"/>
  <c r="B49" i="10"/>
  <c r="B27" i="10"/>
  <c r="B19" i="10"/>
  <c r="B15" i="10"/>
  <c r="B167" i="5"/>
  <c r="B162" i="5"/>
  <c r="B158" i="5"/>
  <c r="B144" i="5"/>
  <c r="B136" i="5"/>
  <c r="B131" i="5"/>
  <c r="B126" i="5"/>
  <c r="B121" i="5"/>
  <c r="A115" i="5"/>
  <c r="B112" i="5"/>
  <c r="B105" i="5"/>
  <c r="B103" i="5"/>
  <c r="B92" i="5"/>
  <c r="B86" i="5"/>
  <c r="B76" i="5"/>
  <c r="B60" i="5"/>
  <c r="B44" i="5"/>
  <c r="B40" i="5"/>
  <c r="B14" i="5"/>
  <c r="B179" i="5"/>
  <c r="B161" i="5"/>
  <c r="B135" i="5"/>
  <c r="B117" i="5"/>
  <c r="B111" i="5"/>
  <c r="B102" i="5"/>
  <c r="A86" i="5"/>
  <c r="B75" i="5"/>
  <c r="B59" i="5"/>
  <c r="B43" i="5"/>
  <c r="B39" i="5"/>
  <c r="B13" i="5"/>
  <c r="B84" i="10"/>
  <c r="B39" i="10"/>
  <c r="B26" i="10"/>
  <c r="B18" i="10"/>
  <c r="B14" i="10"/>
  <c r="B166" i="5"/>
  <c r="B157" i="5"/>
  <c r="B141" i="5"/>
  <c r="B129" i="5"/>
  <c r="B124" i="5"/>
  <c r="B114" i="5"/>
  <c r="A105" i="5"/>
  <c r="B91" i="5"/>
  <c r="B51" i="10"/>
  <c r="B38" i="10"/>
  <c r="B21" i="10"/>
  <c r="B17" i="10"/>
  <c r="B13" i="10"/>
  <c r="B178" i="5"/>
  <c r="B163" i="5"/>
  <c r="B160" i="5"/>
  <c r="A157" i="5"/>
  <c r="B140" i="5"/>
  <c r="B134" i="5"/>
  <c r="B128" i="5"/>
  <c r="B123" i="5"/>
  <c r="B116" i="5"/>
  <c r="A114" i="5"/>
  <c r="B107" i="5"/>
  <c r="B104" i="5"/>
  <c r="B101" i="5"/>
  <c r="B87" i="5"/>
  <c r="B85" i="5"/>
  <c r="B69" i="5"/>
  <c r="B52" i="5"/>
  <c r="B42" i="5"/>
  <c r="B38" i="5"/>
  <c r="B12" i="5"/>
  <c r="B40" i="10"/>
  <c r="B42" i="10"/>
  <c r="B29" i="10"/>
  <c r="B2" i="7"/>
  <c r="B1" i="10"/>
  <c r="B133" i="5"/>
  <c r="B41" i="10"/>
  <c r="B28" i="10"/>
  <c r="B30" i="10"/>
  <c r="B36" i="5"/>
  <c r="B34" i="5"/>
  <c r="B32" i="5"/>
  <c r="B30" i="5"/>
  <c r="A158" i="5"/>
  <c r="A161" i="5"/>
  <c r="A162" i="5"/>
  <c r="A84" i="5"/>
  <c r="A39" i="5"/>
  <c r="A41" i="5"/>
  <c r="A43" i="5"/>
  <c r="A45" i="5"/>
  <c r="A169" i="5"/>
  <c r="B35" i="5"/>
  <c r="B33" i="5"/>
  <c r="B31" i="5"/>
  <c r="B29" i="5"/>
  <c r="A159" i="5"/>
  <c r="A160" i="5"/>
  <c r="A85" i="5"/>
  <c r="A38" i="5"/>
  <c r="A40" i="5"/>
  <c r="A42" i="5"/>
</calcChain>
</file>

<file path=xl/sharedStrings.xml><?xml version="1.0" encoding="utf-8"?>
<sst xmlns="http://schemas.openxmlformats.org/spreadsheetml/2006/main" count="2021" uniqueCount="439">
  <si>
    <t>Retirement/SS/Medicare (%)</t>
  </si>
  <si>
    <t>924G</t>
  </si>
  <si>
    <t>980G</t>
  </si>
  <si>
    <t>950G</t>
  </si>
  <si>
    <t>Flatbed Truck</t>
  </si>
  <si>
    <t>D6R w/ Winch</t>
  </si>
  <si>
    <t>730 (articulated)</t>
  </si>
  <si>
    <t>CP533E Sheepsfoot Compactor</t>
  </si>
  <si>
    <t>CS533E Vibratory Roller</t>
  </si>
  <si>
    <r>
      <t>Dump Truck (10-12 yd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) (5)</t>
    </r>
  </si>
  <si>
    <t>730  (articulated)</t>
  </si>
  <si>
    <t>365BL</t>
  </si>
  <si>
    <t>773E</t>
  </si>
  <si>
    <t>793C</t>
  </si>
  <si>
    <t>994D</t>
  </si>
  <si>
    <t xml:space="preserve">(2) Equipment Operator Source: </t>
  </si>
  <si>
    <t>SOCIAL SECURITY, WORKMAN'S COMP, INSURANCE, ETC.</t>
  </si>
  <si>
    <r>
      <t>TRUCK DRIVERS - Labor Groups and Base Pay Rate ($/hr)</t>
    </r>
    <r>
      <rPr>
        <b/>
        <vertAlign val="superscript"/>
        <sz val="12"/>
        <rFont val="Arial"/>
        <family val="2"/>
      </rPr>
      <t xml:space="preserve"> </t>
    </r>
    <r>
      <rPr>
        <vertAlign val="superscript"/>
        <sz val="12"/>
        <rFont val="Arial"/>
        <family val="2"/>
      </rPr>
      <t>(4)</t>
    </r>
  </si>
  <si>
    <r>
      <t xml:space="preserve">Zone and Area Adjustments </t>
    </r>
    <r>
      <rPr>
        <vertAlign val="superscript"/>
        <sz val="12"/>
        <rFont val="Arial"/>
        <family val="2"/>
      </rPr>
      <t>(5)</t>
    </r>
  </si>
  <si>
    <t xml:space="preserve">(4) Truck Driver Source: </t>
  </si>
  <si>
    <r>
      <t xml:space="preserve">LABORERS - Labor Groups and Base Pay Rate ($/hr) </t>
    </r>
    <r>
      <rPr>
        <vertAlign val="superscript"/>
        <sz val="12"/>
        <rFont val="Arial"/>
        <family val="2"/>
      </rPr>
      <t>(6,7)</t>
    </r>
  </si>
  <si>
    <r>
      <t xml:space="preserve">Zone and Area Adjustments </t>
    </r>
    <r>
      <rPr>
        <vertAlign val="superscript"/>
        <sz val="12"/>
        <rFont val="Arial"/>
        <family val="2"/>
      </rPr>
      <t>(8)</t>
    </r>
  </si>
  <si>
    <t xml:space="preserve">(6) Laborer Source: </t>
  </si>
  <si>
    <t xml:space="preserve">(7) Carpenter Source: </t>
  </si>
  <si>
    <t>Pump (plugging) Drill Rig</t>
  </si>
  <si>
    <t>Fencing Installation</t>
  </si>
  <si>
    <t>Small Adit Plugging</t>
  </si>
  <si>
    <r>
      <t>PROJECT MANAGEMENT AND TECHNICAL LABOR - Base Pay Rate ($/hr)</t>
    </r>
    <r>
      <rPr>
        <b/>
        <vertAlign val="superscript"/>
        <sz val="12"/>
        <rFont val="Arial"/>
        <family val="2"/>
      </rPr>
      <t xml:space="preserve"> </t>
    </r>
    <r>
      <rPr>
        <vertAlign val="superscript"/>
        <sz val="12"/>
        <rFont val="Arial"/>
        <family val="2"/>
      </rPr>
      <t>(9)</t>
    </r>
  </si>
  <si>
    <t>Equip</t>
  </si>
  <si>
    <t>MISCELLANEOUS COST TABLE</t>
  </si>
  <si>
    <t>JOB DESCRIPTION</t>
  </si>
  <si>
    <r>
      <t xml:space="preserve">Cactus Planting </t>
    </r>
    <r>
      <rPr>
        <vertAlign val="superscript"/>
        <sz val="10"/>
        <rFont val="Arial"/>
        <family val="2"/>
      </rPr>
      <t>(4)</t>
    </r>
  </si>
  <si>
    <r>
      <t xml:space="preserve">Bat Gate </t>
    </r>
    <r>
      <rPr>
        <vertAlign val="superscript"/>
        <sz val="10"/>
        <rFont val="Arial"/>
        <family val="2"/>
      </rPr>
      <t>(5)</t>
    </r>
  </si>
  <si>
    <r>
      <t xml:space="preserve">Single Pole Powerlines </t>
    </r>
    <r>
      <rPr>
        <vertAlign val="superscript"/>
        <sz val="10"/>
        <rFont val="Arial"/>
        <family val="2"/>
      </rPr>
      <t>(7)</t>
    </r>
  </si>
  <si>
    <r>
      <t xml:space="preserve">Double Pole Powerlines </t>
    </r>
    <r>
      <rPr>
        <vertAlign val="superscript"/>
        <sz val="10"/>
        <rFont val="Arial"/>
        <family val="2"/>
      </rPr>
      <t>(8)</t>
    </r>
  </si>
  <si>
    <t>REVEGETATION</t>
  </si>
  <si>
    <t>BUILDING and WALL DEMOLITION</t>
  </si>
  <si>
    <t>UNDERGROUND OPENING CLOSURE</t>
  </si>
  <si>
    <t>MISC. LINEAR PROJECTS</t>
  </si>
  <si>
    <t>EROSION, EVAPORATION and SEDIMENTATION CONTROL</t>
  </si>
  <si>
    <t>Labor</t>
  </si>
  <si>
    <t>Bulldozers</t>
  </si>
  <si>
    <t>D6R</t>
  </si>
  <si>
    <t>D7R</t>
  </si>
  <si>
    <t>D8R</t>
  </si>
  <si>
    <t>D9R</t>
  </si>
  <si>
    <t>D10R</t>
  </si>
  <si>
    <t>D11R</t>
  </si>
  <si>
    <t>Motor Graders</t>
  </si>
  <si>
    <t>14G/H</t>
  </si>
  <si>
    <t>16G/H</t>
  </si>
  <si>
    <t>Track Excavators</t>
  </si>
  <si>
    <t>320C</t>
  </si>
  <si>
    <t>325C</t>
  </si>
  <si>
    <t>345B</t>
  </si>
  <si>
    <t>385BL</t>
  </si>
  <si>
    <t>Scrapers</t>
  </si>
  <si>
    <t>631G</t>
  </si>
  <si>
    <t>637G PP</t>
  </si>
  <si>
    <t>Wheeled Loaders</t>
  </si>
  <si>
    <t>928G</t>
  </si>
  <si>
    <t>966G</t>
  </si>
  <si>
    <t>972G</t>
  </si>
  <si>
    <t>988G</t>
  </si>
  <si>
    <t>992G</t>
  </si>
  <si>
    <t>Trucks</t>
  </si>
  <si>
    <t>769D</t>
  </si>
  <si>
    <t>777D</t>
  </si>
  <si>
    <t>Other Equipment</t>
  </si>
  <si>
    <t>420D 4WD Backhoe</t>
  </si>
  <si>
    <t>Light Truck - 1.5 Ton</t>
  </si>
  <si>
    <t>Supervisor's Truck</t>
  </si>
  <si>
    <t>Air Compressor + tools</t>
  </si>
  <si>
    <t>Heavy Duty Drill Rig</t>
  </si>
  <si>
    <t>Concrete Pump</t>
  </si>
  <si>
    <t>Gas Engine Vibrator</t>
  </si>
  <si>
    <t>613E (5,000 gal) Water Wagon</t>
  </si>
  <si>
    <t>621E (8,000 gal) Water Wagon</t>
  </si>
  <si>
    <t>Dump Truck (10-12 yd3 )</t>
  </si>
  <si>
    <t>NOTES:</t>
  </si>
  <si>
    <t>EQUIPMENT TYPE</t>
  </si>
  <si>
    <t>Notes:</t>
  </si>
  <si>
    <t>Revegetation Materials</t>
  </si>
  <si>
    <t>Well Abandonment Materials</t>
  </si>
  <si>
    <t>Fuel, Etc.</t>
  </si>
  <si>
    <t>Seed Mixes</t>
  </si>
  <si>
    <t>Description</t>
  </si>
  <si>
    <t>Units</t>
  </si>
  <si>
    <t>Cost/unit</t>
  </si>
  <si>
    <t>Seed Mix</t>
  </si>
  <si>
    <t>Cement</t>
  </si>
  <si>
    <t>None</t>
  </si>
  <si>
    <t>Mix 1</t>
  </si>
  <si>
    <t>Mix 2</t>
  </si>
  <si>
    <t>Mix 3</t>
  </si>
  <si>
    <t>Mulch</t>
  </si>
  <si>
    <t>Item</t>
  </si>
  <si>
    <t>Monitoring Costs</t>
  </si>
  <si>
    <t>Straw Mulch</t>
  </si>
  <si>
    <t>Hydro Mulch</t>
  </si>
  <si>
    <t>Monitor Well Pump</t>
  </si>
  <si>
    <t>Sampling Supplies</t>
  </si>
  <si>
    <t>Amendments</t>
  </si>
  <si>
    <t>Organic Matter</t>
  </si>
  <si>
    <t>Treated Sludge</t>
  </si>
  <si>
    <r>
      <t xml:space="preserve">Off-road Diesel - delivered </t>
    </r>
    <r>
      <rPr>
        <vertAlign val="superscript"/>
        <sz val="10"/>
        <rFont val="Arial MT"/>
      </rPr>
      <t>(1)</t>
    </r>
  </si>
  <si>
    <t>Total</t>
  </si>
  <si>
    <t>Field Geologist/Engineer</t>
  </si>
  <si>
    <t>Field Tech/Sampler</t>
  </si>
  <si>
    <t>Range Scientist</t>
  </si>
  <si>
    <t>Materials</t>
  </si>
  <si>
    <t>Premium</t>
  </si>
  <si>
    <t>Building Demolition</t>
  </si>
  <si>
    <t>Lg. steel</t>
  </si>
  <si>
    <t>Lg. concrete</t>
  </si>
  <si>
    <t>Lg. masonry</t>
  </si>
  <si>
    <t>Lg. mixed</t>
  </si>
  <si>
    <t>Sm. steel</t>
  </si>
  <si>
    <t>Sm. masonry</t>
  </si>
  <si>
    <t>Sm. wood</t>
  </si>
  <si>
    <t>Wall Demolition</t>
  </si>
  <si>
    <t>Reinforced Concrete Bulkheads and Shaft Covers</t>
  </si>
  <si>
    <t>Misc.</t>
  </si>
  <si>
    <t>Backhoe work</t>
  </si>
  <si>
    <t>Powerline and Transformer Removal</t>
  </si>
  <si>
    <t>unit</t>
  </si>
  <si>
    <t>Rip-Rap &amp; Rock Lining</t>
  </si>
  <si>
    <t>Liner Installation</t>
  </si>
  <si>
    <t>Site grading</t>
  </si>
  <si>
    <t>Compaction</t>
  </si>
  <si>
    <t>Carpenter</t>
  </si>
  <si>
    <t>ea.</t>
  </si>
  <si>
    <t>Inert Material/Cuttings</t>
  </si>
  <si>
    <t>Grout (Low Grade Bentonite)</t>
  </si>
  <si>
    <t>Chemical</t>
  </si>
  <si>
    <t>H-160 (fits 345)</t>
  </si>
  <si>
    <t>H-180 (fits 365/385)</t>
  </si>
  <si>
    <t>Hydrauilc Hammers</t>
  </si>
  <si>
    <t>H-120 (fits 325)</t>
  </si>
  <si>
    <t>Sm. concrete</t>
  </si>
  <si>
    <t>File Name:</t>
  </si>
  <si>
    <t>Date:</t>
  </si>
  <si>
    <t>Catepillar model or equivalent</t>
  </si>
  <si>
    <t>Cost Basis:</t>
  </si>
  <si>
    <t>Author/Source:</t>
  </si>
  <si>
    <t>Hydraulic Hammers</t>
  </si>
  <si>
    <r>
      <t>EQUIPMENT TYPE</t>
    </r>
    <r>
      <rPr>
        <b/>
        <vertAlign val="superscript"/>
        <sz val="12"/>
        <rFont val="Arial"/>
        <family val="2"/>
      </rPr>
      <t xml:space="preserve"> </t>
    </r>
    <r>
      <rPr>
        <vertAlign val="superscript"/>
        <sz val="12"/>
        <rFont val="Arial"/>
        <family val="2"/>
      </rPr>
      <t>(2)</t>
    </r>
  </si>
  <si>
    <t>MATERIAL TYPE</t>
  </si>
  <si>
    <t>RECLAMATION MATERIAL COST TABLE</t>
  </si>
  <si>
    <t>General Laborer</t>
  </si>
  <si>
    <t>Driller's Helper</t>
  </si>
  <si>
    <t>Rodmen (reinforcing concrete)</t>
  </si>
  <si>
    <t>Cement finisher</t>
  </si>
  <si>
    <t>Foreman</t>
  </si>
  <si>
    <t>Fringe Benefits</t>
  </si>
  <si>
    <t>Unemployment (%)</t>
  </si>
  <si>
    <t>HOURLY LABOR RATE TABLE</t>
  </si>
  <si>
    <t>Project Manager</t>
  </si>
  <si>
    <t>INDIRECT COSTS</t>
  </si>
  <si>
    <t>Equip Op Fringe Benefits ($/hr)</t>
  </si>
  <si>
    <t>Truck Driver Fringe Benefits ($/hr)</t>
  </si>
  <si>
    <t>Laborer Fringe Benefits ($/hr)</t>
  </si>
  <si>
    <t>Carpenter Fringe Benefits ($/hr)</t>
  </si>
  <si>
    <t xml:space="preserve">(1) Equipment Type: </t>
  </si>
  <si>
    <r>
      <t>EQUIPMENT TYPE</t>
    </r>
    <r>
      <rPr>
        <b/>
        <vertAlign val="superscript"/>
        <sz val="12"/>
        <rFont val="Arial"/>
        <family val="2"/>
      </rPr>
      <t xml:space="preserve"> </t>
    </r>
    <r>
      <rPr>
        <vertAlign val="superscript"/>
        <sz val="12"/>
        <rFont val="Arial"/>
        <family val="2"/>
      </rPr>
      <t>(1)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OR JOB DESCRIPTION</t>
    </r>
  </si>
  <si>
    <r>
      <t>EQUIPMENT OPERATORS - Labor Groups and Base Pay Rate ($/hr)</t>
    </r>
    <r>
      <rPr>
        <b/>
        <vertAlign val="superscript"/>
        <sz val="12"/>
        <rFont val="Arial"/>
        <family val="2"/>
      </rPr>
      <t xml:space="preserve"> </t>
    </r>
    <r>
      <rPr>
        <vertAlign val="superscript"/>
        <sz val="12"/>
        <rFont val="Arial"/>
        <family val="2"/>
      </rPr>
      <t>(2)</t>
    </r>
  </si>
  <si>
    <t>Skilled Laborer</t>
  </si>
  <si>
    <t>PRODUCTION OR DEWATERING WELL PUMP REMOVAL</t>
  </si>
  <si>
    <t>Pump Type</t>
  </si>
  <si>
    <r>
      <t>Submersible</t>
    </r>
    <r>
      <rPr>
        <vertAlign val="superscript"/>
        <sz val="10"/>
        <rFont val="Arial"/>
        <family val="2"/>
      </rPr>
      <t xml:space="preserve"> (10)</t>
    </r>
  </si>
  <si>
    <r>
      <t>Line Shaft</t>
    </r>
    <r>
      <rPr>
        <vertAlign val="superscript"/>
        <sz val="10"/>
        <rFont val="Arial"/>
        <family val="2"/>
      </rPr>
      <t xml:space="preserve"> (10)</t>
    </r>
  </si>
  <si>
    <t>Standardized Data</t>
  </si>
  <si>
    <t>Equipment Zone 1</t>
  </si>
  <si>
    <t>Equipment Zone 2</t>
  </si>
  <si>
    <t>Equipment Zone 3</t>
  </si>
  <si>
    <t>Equipment Zone 4</t>
  </si>
  <si>
    <t>Truck Zone 1</t>
  </si>
  <si>
    <t>Truck Zone 2</t>
  </si>
  <si>
    <t>Truck Zone 3</t>
  </si>
  <si>
    <t>Truck Zone 4</t>
  </si>
  <si>
    <t>Laborer Zone 1</t>
  </si>
  <si>
    <t>Laborer Zone 2</t>
  </si>
  <si>
    <t>Laborer Zone 3</t>
  </si>
  <si>
    <t>Laborer Zone 4</t>
  </si>
  <si>
    <r>
      <t>Zone and Area Adjustments</t>
    </r>
    <r>
      <rPr>
        <sz val="12"/>
        <rFont val="Arial"/>
        <family val="2"/>
      </rPr>
      <t xml:space="preserve"> - Miles and Rates ($hr) </t>
    </r>
    <r>
      <rPr>
        <vertAlign val="superscript"/>
        <sz val="12"/>
        <rFont val="Arial"/>
        <family val="2"/>
      </rPr>
      <t>(3)</t>
    </r>
  </si>
  <si>
    <t xml:space="preserve">(2) Power Equipment Type: </t>
  </si>
  <si>
    <t xml:space="preserve">(1) Power Equipment Source: </t>
  </si>
  <si>
    <t xml:space="preserve">(3) Drilliing Equipment Source: </t>
  </si>
  <si>
    <t xml:space="preserve">(4) Other Equipment Source: </t>
  </si>
  <si>
    <t>N/A</t>
  </si>
  <si>
    <t xml:space="preserve">(1) PM Source: </t>
  </si>
  <si>
    <t xml:space="preserve">(1) G.E.T. Source: </t>
  </si>
  <si>
    <t>(1) Unit Cost Basis:</t>
  </si>
  <si>
    <t>(2) Cost Basis:</t>
  </si>
  <si>
    <t>(3) Tire Cost Source:</t>
  </si>
  <si>
    <t>(4) Tire Wear Source 
(defined in model):</t>
  </si>
  <si>
    <t xml:space="preserve">(1) Seeding Source: </t>
  </si>
  <si>
    <t xml:space="preserve">(2) Shrub Source: </t>
  </si>
  <si>
    <t xml:space="preserve">(3) Tree Source: </t>
  </si>
  <si>
    <t xml:space="preserve">(4) Cactus Source: </t>
  </si>
  <si>
    <t xml:space="preserve">(5) Bat Gate Source: </t>
  </si>
  <si>
    <t xml:space="preserve">(6) Foam Plug Source: </t>
  </si>
  <si>
    <t xml:space="preserve">(7) Single Pole Source: </t>
  </si>
  <si>
    <t xml:space="preserve">(8) Double Pole Source: </t>
  </si>
  <si>
    <t xml:space="preserve">(9) Transformer Source: </t>
  </si>
  <si>
    <t xml:space="preserve">(10) Pump Removal Source: </t>
  </si>
  <si>
    <t>Truck Zone 5</t>
  </si>
  <si>
    <t>Truck Zone 6</t>
  </si>
  <si>
    <t>Truck Zone 7</t>
  </si>
  <si>
    <t>Equipment Zone 5</t>
  </si>
  <si>
    <t>Equipment Zone 6</t>
  </si>
  <si>
    <t>Equipment Zone 7</t>
  </si>
  <si>
    <t>Laborer Zone 5</t>
  </si>
  <si>
    <t>Laborer Zone 6</t>
  </si>
  <si>
    <t>Laborer Zone 7</t>
  </si>
  <si>
    <t xml:space="preserve">(10) Workman's Comp Source: </t>
  </si>
  <si>
    <t>Workman's Compensation (%)</t>
  </si>
  <si>
    <t>(9) Project Manager:</t>
  </si>
  <si>
    <t>(9) Techical Labor Source:</t>
  </si>
  <si>
    <t>(9) Foreman Source:</t>
  </si>
  <si>
    <t xml:space="preserve">(8) Zone Basis: </t>
  </si>
  <si>
    <t xml:space="preserve">(5) Zone Basis: </t>
  </si>
  <si>
    <t xml:space="preserve">(3) Zone Basis: </t>
  </si>
  <si>
    <t>User Mix 1</t>
  </si>
  <si>
    <t>User Mix 2</t>
  </si>
  <si>
    <t>User Mix 3</t>
  </si>
  <si>
    <t>User Mix 4</t>
  </si>
  <si>
    <t>User Mix 5 (see Seed Mix sheet)</t>
  </si>
  <si>
    <t>Administrative Cost Rates (%)</t>
  </si>
  <si>
    <t>of labor costs</t>
  </si>
  <si>
    <t>of the O&amp;M costs if O&amp;M costs are &gt;$100,000</t>
  </si>
  <si>
    <t>of the O&amp;M costs</t>
  </si>
  <si>
    <t>RECLAMATION COST ESTIMATION SUMMARY SHEET FOOTNOTES</t>
  </si>
  <si>
    <t>&lt;=</t>
  </si>
  <si>
    <t>&gt;</t>
  </si>
  <si>
    <t>CostData STD 3.xls</t>
  </si>
  <si>
    <t>Cost Ranges for Indirect Cost Percentages</t>
  </si>
  <si>
    <t>Format Version:</t>
  </si>
  <si>
    <t>Mix 4</t>
  </si>
  <si>
    <t>Barbed 3-strand</t>
  </si>
  <si>
    <t>Barbed 5-strand</t>
  </si>
  <si>
    <t>Barbed 3-strand Removal</t>
  </si>
  <si>
    <t>Barbed 5-strand Removal</t>
  </si>
  <si>
    <r>
      <t xml:space="preserve">Culvert Gate </t>
    </r>
    <r>
      <rPr>
        <vertAlign val="superscript"/>
        <sz val="10"/>
        <rFont val="Arial"/>
        <family val="2"/>
      </rPr>
      <t>(5)</t>
    </r>
  </si>
  <si>
    <t>Welding Equipment</t>
  </si>
  <si>
    <r>
      <t xml:space="preserve">Adit Foam Plug </t>
    </r>
    <r>
      <rPr>
        <vertAlign val="superscript"/>
        <sz val="10"/>
        <rFont val="Arial"/>
        <family val="2"/>
      </rPr>
      <t>(6)</t>
    </r>
  </si>
  <si>
    <r>
      <t xml:space="preserve">Production Opening Foam Plug </t>
    </r>
    <r>
      <rPr>
        <vertAlign val="superscript"/>
        <sz val="10"/>
        <rFont val="Arial"/>
        <family val="2"/>
      </rPr>
      <t>(6)</t>
    </r>
  </si>
  <si>
    <t>Units of Measure:</t>
  </si>
  <si>
    <t>Metric?</t>
  </si>
  <si>
    <t>Currently set at NDEP9397</t>
  </si>
  <si>
    <t>Barbed 4-strand</t>
  </si>
  <si>
    <t>Barbed 4-strand Removal</t>
  </si>
  <si>
    <t>Generator 5KW</t>
  </si>
  <si>
    <t>HDEP Welder (pipe or liner)</t>
  </si>
  <si>
    <t>Pipe and Drainpipe Installation</t>
  </si>
  <si>
    <t>No. of Bases/Regions:</t>
  </si>
  <si>
    <t>Basis/Region</t>
  </si>
  <si>
    <t>Basis/Region Name</t>
  </si>
  <si>
    <t>Basis/Region Description</t>
  </si>
  <si>
    <t>Basis 1</t>
  </si>
  <si>
    <t>Basis 2</t>
  </si>
  <si>
    <t>Basis 3</t>
  </si>
  <si>
    <t>Basis 4</t>
  </si>
  <si>
    <t>Basis 5</t>
  </si>
  <si>
    <t>Basis 6</t>
  </si>
  <si>
    <t>Basis 7</t>
  </si>
  <si>
    <t>Basis 8</t>
  </si>
  <si>
    <t>Basis 9</t>
  </si>
  <si>
    <t>Basis 10</t>
  </si>
  <si>
    <t>Basis 11</t>
  </si>
  <si>
    <t>Basis 12</t>
  </si>
  <si>
    <t>Basis 13</t>
  </si>
  <si>
    <t>Basis 14</t>
  </si>
  <si>
    <t>Basis 15</t>
  </si>
  <si>
    <r>
      <t>Seeding - Drill</t>
    </r>
    <r>
      <rPr>
        <vertAlign val="superscript"/>
        <sz val="10"/>
        <rFont val="Arial"/>
        <family val="2"/>
      </rPr>
      <t xml:space="preserve"> (1)</t>
    </r>
  </si>
  <si>
    <r>
      <t>Seeding - Hydroseeding</t>
    </r>
    <r>
      <rPr>
        <vertAlign val="superscript"/>
        <sz val="10"/>
        <rFont val="Arial"/>
        <family val="2"/>
      </rPr>
      <t xml:space="preserve"> (1)</t>
    </r>
  </si>
  <si>
    <r>
      <t xml:space="preserve">Seeding - Broadcast Mechanical </t>
    </r>
    <r>
      <rPr>
        <vertAlign val="superscript"/>
        <sz val="10"/>
        <rFont val="Arial"/>
        <family val="2"/>
      </rPr>
      <t>(1)</t>
    </r>
  </si>
  <si>
    <t>WASTE DISPOSAL</t>
  </si>
  <si>
    <t>Rubbish and Waste Handling</t>
  </si>
  <si>
    <t>Dumpster delivery (average for all sizes)</t>
  </si>
  <si>
    <t>Haul (average for all sizes)</t>
  </si>
  <si>
    <t>Rent per month (average for all sizes)</t>
  </si>
  <si>
    <t>Disposal fee per ton (tonne) (average for all sizes)</t>
  </si>
  <si>
    <t>Dumpster Cost Source</t>
  </si>
  <si>
    <t>Disposal Fee Source:</t>
  </si>
  <si>
    <t>Bulk material (average)</t>
  </si>
  <si>
    <t>Hazardous Material Handling - Solids</t>
  </si>
  <si>
    <t>Pickup fees 55 gal. drums</t>
  </si>
  <si>
    <t>Transport - truck load (80 drums, 25 cy (m3), 18 tons)</t>
  </si>
  <si>
    <t>Dump site disposal fee</t>
  </si>
  <si>
    <t>Hazardous Material Handling - Liquids</t>
  </si>
  <si>
    <t>hr.</t>
  </si>
  <si>
    <t>Insitu Biotreatment</t>
  </si>
  <si>
    <t>Insitu Treatement Cost Source</t>
  </si>
  <si>
    <t>HCS Disposal Fee Source:</t>
  </si>
  <si>
    <t>Hydrocarbon Contaminated Soils (HCS)</t>
  </si>
  <si>
    <t>HCS disposal fee</t>
  </si>
  <si>
    <t>Solid Handling Cost Source</t>
  </si>
  <si>
    <t>Solid Disposal Fee Source:</t>
  </si>
  <si>
    <t>Liquid Handling Cost Source</t>
  </si>
  <si>
    <t>Liquid Disposal Fee Source:</t>
  </si>
  <si>
    <t>Electical Power</t>
  </si>
  <si>
    <t>$/kWh</t>
  </si>
  <si>
    <r>
      <t xml:space="preserve">Monthly Rental Basis
</t>
    </r>
    <r>
      <rPr>
        <sz val="10"/>
        <rFont val="Arial"/>
        <family val="2"/>
      </rPr>
      <t>(operating hrs/ period)</t>
    </r>
  </si>
  <si>
    <t>1. Engineering, Design and Construction (ED&amp;C) Plan (7)</t>
  </si>
  <si>
    <t>Variable Rate</t>
  </si>
  <si>
    <t>2. Contingency (8)</t>
  </si>
  <si>
    <t>3. Insurance (9)</t>
  </si>
  <si>
    <t>4. Bond (10)</t>
  </si>
  <si>
    <t>5. Contractor Profit (11)</t>
  </si>
  <si>
    <t>6. Contract Administration (12)</t>
  </si>
  <si>
    <t>Cost Type:</t>
  </si>
  <si>
    <t>Construction Management Support</t>
  </si>
  <si>
    <t>Office Trailer, Furnished, no hook-ups</t>
  </si>
  <si>
    <t>Toilet Portable, chemical</t>
  </si>
  <si>
    <t>month</t>
  </si>
  <si>
    <t>Small Plan</t>
  </si>
  <si>
    <t>Metric</t>
  </si>
  <si>
    <r>
      <t>Seeding - Broadcast Manual</t>
    </r>
    <r>
      <rPr>
        <vertAlign val="superscript"/>
        <sz val="10"/>
        <rFont val="Arial"/>
        <family val="2"/>
      </rPr>
      <t xml:space="preserve"> (1)</t>
    </r>
  </si>
  <si>
    <t>Pickup Truck Travel</t>
  </si>
  <si>
    <t>Vacuum Truck Pickup (2200 gal or 9,700 litres)</t>
  </si>
  <si>
    <t>Vacuum Truck Pickup (5000 gal or 2,000 litres)</t>
  </si>
  <si>
    <t>Drain Rock Preparation</t>
  </si>
  <si>
    <t>Crushing</t>
  </si>
  <si>
    <t>Screening</t>
  </si>
  <si>
    <r>
      <t>Substation</t>
    </r>
    <r>
      <rPr>
        <vertAlign val="superscript"/>
        <sz val="10"/>
        <rFont val="Arial"/>
        <family val="2"/>
      </rPr>
      <t xml:space="preserve"> (9)</t>
    </r>
  </si>
  <si>
    <t>Culvert Removal</t>
  </si>
  <si>
    <t>12 in (300 mm ) Diameter</t>
  </si>
  <si>
    <t>18 in (450 mm) Diameter</t>
  </si>
  <si>
    <t>24 in (600 mm) Diameter</t>
  </si>
  <si>
    <t>36 in (1m) Diameter</t>
  </si>
  <si>
    <t>Pipeline Removal</t>
  </si>
  <si>
    <t>Plastic Pipe 3/4 in (mm) - 4 in (100 mm) diameter</t>
  </si>
  <si>
    <t>6 in (150 mm) - 8 in (200 mm)</t>
  </si>
  <si>
    <t>10 in (250 mm) - 18 in (450 mm)</t>
  </si>
  <si>
    <t>50 Ton Crane</t>
  </si>
  <si>
    <t>120 Ton Crane</t>
  </si>
  <si>
    <t>Demolition Shears</t>
  </si>
  <si>
    <t>S340 (fits 322/325/330)</t>
  </si>
  <si>
    <t>S365 (fits 330/345)</t>
  </si>
  <si>
    <t>S390 (fits 365/385)</t>
  </si>
  <si>
    <t>Demolition Grapples</t>
  </si>
  <si>
    <t>G315 (fits 322/325)</t>
  </si>
  <si>
    <t>G320 (fits 325/330)</t>
  </si>
  <si>
    <t>G330 (fits 345/365)</t>
  </si>
  <si>
    <t>725 (articulated)</t>
  </si>
  <si>
    <t>740 (articulated)</t>
  </si>
  <si>
    <t>785C</t>
  </si>
  <si>
    <t>777D Water Truck</t>
  </si>
  <si>
    <t>785C Water Truck</t>
  </si>
  <si>
    <t>Water 12in (300mm) 40ft (12m) length, welded HDPE</t>
  </si>
  <si>
    <t>User Data</t>
  </si>
  <si>
    <r>
      <t>TIRE COST TABLE [Cost Per Tire</t>
    </r>
    <r>
      <rPr>
        <b/>
        <vertAlign val="superscript"/>
        <sz val="18"/>
        <rFont val="Arial"/>
        <family val="2"/>
      </rPr>
      <t>(1,2,3)</t>
    </r>
    <r>
      <rPr>
        <b/>
        <sz val="18"/>
        <rFont val="Arial"/>
        <family val="2"/>
      </rPr>
      <t>]</t>
    </r>
  </si>
  <si>
    <t>none</t>
  </si>
  <si>
    <r>
      <t xml:space="preserve">G.E.T CONSUMPTION [Cost Per Hour] </t>
    </r>
    <r>
      <rPr>
        <vertAlign val="superscript"/>
        <sz val="18"/>
        <rFont val="Arial"/>
        <family val="2"/>
      </rPr>
      <t>(1) (Wear Items)</t>
    </r>
  </si>
  <si>
    <r>
      <t xml:space="preserve">PREVENTATIVE MAINTENANCE COST [Cost Per Hour] </t>
    </r>
    <r>
      <rPr>
        <b/>
        <vertAlign val="superscript"/>
        <sz val="18"/>
        <rFont val="Arial"/>
        <family val="2"/>
      </rPr>
      <t>(1)</t>
    </r>
  </si>
  <si>
    <r>
      <t xml:space="preserve">MONTHLY EQUIPMENT RATE TABLE  [Cost Per Month] </t>
    </r>
    <r>
      <rPr>
        <b/>
        <vertAlign val="superscript"/>
        <sz val="18"/>
        <rFont val="Arial"/>
        <family val="2"/>
      </rPr>
      <t>(1)</t>
    </r>
  </si>
  <si>
    <t>735 (articulated)</t>
  </si>
  <si>
    <t>120H</t>
  </si>
  <si>
    <t>312C</t>
  </si>
  <si>
    <t>330C</t>
  </si>
  <si>
    <t>428D 4WD Backhoe</t>
  </si>
  <si>
    <t>5 Ton Crane</t>
  </si>
  <si>
    <t>20 Ton Crane</t>
  </si>
  <si>
    <t>Timber Mulch</t>
  </si>
  <si>
    <t>Wheeled Dozers</t>
  </si>
  <si>
    <t>824G</t>
  </si>
  <si>
    <t>834G</t>
  </si>
  <si>
    <t>854G</t>
  </si>
  <si>
    <t>Water 4in (100mm ) 40ft (12m) length, welded HDPE</t>
  </si>
  <si>
    <t>Water 6in (150mm) 40ft (12m) length, welded HDPE</t>
  </si>
  <si>
    <t>Drain 4in (100mm) perforated PVC</t>
  </si>
  <si>
    <t>Drain 6in (150mm) perforated PVC</t>
  </si>
  <si>
    <t>Drain 4in (100mm) corrugated, perf or plain</t>
  </si>
  <si>
    <t>Drain 6in (150mm) corrugated., perf or plain</t>
  </si>
  <si>
    <t>20 in (500 mm) - 36 in (1 m)</t>
  </si>
  <si>
    <r>
      <t xml:space="preserve">Shrub Planting - bare root 6-10 in (150- 250mm) </t>
    </r>
    <r>
      <rPr>
        <vertAlign val="superscript"/>
        <sz val="10"/>
        <rFont val="Arial"/>
        <family val="2"/>
      </rPr>
      <t>(2)</t>
    </r>
  </si>
  <si>
    <r>
      <t xml:space="preserve">Tree Planting - bare root 11-16 in (270- 400mm) </t>
    </r>
    <r>
      <rPr>
        <vertAlign val="superscript"/>
        <sz val="10"/>
        <rFont val="Arial"/>
        <family val="2"/>
      </rPr>
      <t>(3)</t>
    </r>
  </si>
  <si>
    <t>CS663E Vibratory Roller</t>
  </si>
  <si>
    <t>CP663E Sheepsfoot Compactor</t>
  </si>
  <si>
    <t>L-2350</t>
  </si>
  <si>
    <t>24M</t>
  </si>
  <si>
    <t>797B</t>
  </si>
  <si>
    <t>QLD rates</t>
  </si>
  <si>
    <t>CAT Historical Data</t>
  </si>
  <si>
    <t>Cost per tyre each</t>
  </si>
  <si>
    <t>Caterpillar Handbook, Edition 37</t>
  </si>
  <si>
    <t>Senior Planning Engineer</t>
  </si>
  <si>
    <t>Project Engineer</t>
  </si>
  <si>
    <t>Mechanic/Fitter</t>
  </si>
  <si>
    <t>State Payroll Tax (13),(15),(17),(18)</t>
  </si>
  <si>
    <t>Industry Average %</t>
  </si>
  <si>
    <t>(14) payroll  threshold</t>
  </si>
  <si>
    <t>&gt; $750,000 pa</t>
  </si>
  <si>
    <t xml:space="preserve">[15) Payroll Rate 6% &amp; Threshold &gt; $623,000 pa until Dec'08, (16) then 5.75% from Jan'09 </t>
  </si>
  <si>
    <t>NOTE : Cost can vary considerably from site to site due to remote location of Australian Mine sites</t>
  </si>
  <si>
    <t>Fencing Removal</t>
  </si>
  <si>
    <t>SRCE Data File v1.12</t>
  </si>
  <si>
    <t>Shovels</t>
  </si>
  <si>
    <t>KOM PC2000</t>
  </si>
  <si>
    <t>KOM PC3000</t>
  </si>
  <si>
    <t>KOM PC4000</t>
  </si>
  <si>
    <t>KOM PC5500</t>
  </si>
  <si>
    <t>KOM PC8000</t>
  </si>
  <si>
    <t>Catepillar model or equivalent, LeTourneau loader, Komatsu shovels</t>
  </si>
  <si>
    <t>WA ARO</t>
  </si>
  <si>
    <t>Western AUS Contractor Rates</t>
  </si>
  <si>
    <t>WA LOM - site costs</t>
  </si>
  <si>
    <t>Western AUS Site Rates</t>
  </si>
  <si>
    <t>AB Consulting</t>
  </si>
  <si>
    <t>XYC Consulting</t>
  </si>
  <si>
    <t>camp</t>
  </si>
  <si>
    <t>XYZ Consulting</t>
  </si>
  <si>
    <t>Mine Site Costs</t>
  </si>
  <si>
    <t>Mine Site Costs - R Butcher</t>
  </si>
  <si>
    <t>average camp living costs</t>
  </si>
  <si>
    <t>Range from AUS seeding contractors</t>
  </si>
  <si>
    <t>average of WA seeding contractors</t>
  </si>
  <si>
    <t>Water Analysis (Complete) (1)</t>
  </si>
  <si>
    <t>ABA + S speciation</t>
  </si>
  <si>
    <t>Cyanide - WAD</t>
  </si>
  <si>
    <t>Cyanide - Free</t>
  </si>
  <si>
    <t>Cyanide - Total soils</t>
  </si>
  <si>
    <t>Cyanide - Total water</t>
  </si>
  <si>
    <t>TPH in soils</t>
  </si>
  <si>
    <t>Humidty Cell (20 wk) (2)</t>
  </si>
  <si>
    <t>Humidty Cell (40 wk)</t>
  </si>
  <si>
    <t>NAG</t>
  </si>
  <si>
    <t>TCLP w/ full analysis</t>
  </si>
  <si>
    <t>SPLP w/ full analysis</t>
  </si>
  <si>
    <t>AS4439 Leach test w/ full analysis</t>
  </si>
  <si>
    <t>Soil Fertility</t>
  </si>
  <si>
    <t>Granite Seed</t>
  </si>
  <si>
    <t>Various</t>
  </si>
  <si>
    <t>Not in Australia</t>
  </si>
  <si>
    <t>John's HazMat</t>
  </si>
  <si>
    <t>Varies by location</t>
  </si>
  <si>
    <t>Varies greatly by authority, distance and contaminiation</t>
  </si>
  <si>
    <t>Concrete Works-Rawlinsons Construction hanbook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</si>
</sst>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;[Red]\-&quot;$&quot;#,##0"/>
    <numFmt numFmtId="165" formatCode="_-&quot;$&quot;* #,##0.00_-;\-&quot;$&quot;* #,##0.00_-;_-&quot;$&quot;* &quot;-&quot;??_-;_-@_-"/>
    <numFmt numFmtId="166" formatCode="&quot;$&quot;#,##0"/>
    <numFmt numFmtId="167" formatCode="&quot;$&quot;#,##0.00"/>
    <numFmt numFmtId="168" formatCode="General&quot;H&quot;"/>
    <numFmt numFmtId="169" formatCode="0.0"/>
    <numFmt numFmtId="170" formatCode="0.00_)"/>
    <numFmt numFmtId="171" formatCode="[$-409]mmmm\ d\,\ yyyy;@"/>
    <numFmt numFmtId="172" formatCode="&quot;$&quot;#,##0.0000"/>
    <numFmt numFmtId="173" formatCode="0.0%"/>
    <numFmt numFmtId="174" formatCode="[$-409]mmm\-yyyy;@"/>
    <numFmt numFmtId="175" formatCode="#,##0.0"/>
    <numFmt numFmtId="176" formatCode="#,##0.000"/>
    <numFmt numFmtId="177" formatCode="&quot;$&quot;#,##0.000"/>
  </numFmts>
  <fonts count="64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i/>
      <sz val="8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 MT"/>
    </font>
    <font>
      <b/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vertAlign val="superscript"/>
      <sz val="10"/>
      <name val="Arial MT"/>
    </font>
    <font>
      <b/>
      <sz val="12"/>
      <name val="Arial MT"/>
    </font>
    <font>
      <sz val="8"/>
      <name val="Arial MT"/>
    </font>
    <font>
      <b/>
      <vertAlign val="superscript"/>
      <sz val="18"/>
      <name val="Arial"/>
      <family val="2"/>
    </font>
    <font>
      <sz val="10"/>
      <color indexed="10"/>
      <name val="Arial"/>
      <family val="2"/>
    </font>
    <font>
      <vertAlign val="superscript"/>
      <sz val="1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sz val="9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MT"/>
    </font>
    <font>
      <b/>
      <sz val="11"/>
      <name val="Arial"/>
      <family val="2"/>
    </font>
    <font>
      <b/>
      <sz val="11"/>
      <name val="Arial"/>
      <family val="2"/>
    </font>
    <font>
      <b/>
      <sz val="12"/>
      <color indexed="22"/>
      <name val="Arial"/>
      <family val="2"/>
    </font>
    <font>
      <sz val="14"/>
      <color indexed="12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gray125">
        <fgColor indexed="51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55"/>
      </patternFill>
    </fill>
    <fill>
      <patternFill patternType="lightTrellis">
        <fgColor indexed="31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gray0625">
        <fgColor indexed="9"/>
        <bgColor indexed="31"/>
      </patternFill>
    </fill>
    <fill>
      <patternFill patternType="gray0625">
        <bgColor indexed="31"/>
      </patternFill>
    </fill>
    <fill>
      <patternFill patternType="solid">
        <fgColor indexed="43"/>
        <bgColor indexed="55"/>
      </patternFill>
    </fill>
  </fills>
  <borders count="1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2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</borders>
  <cellStyleXfs count="356">
    <xf numFmtId="0" fontId="0" fillId="0" borderId="0">
      <protection hidden="1"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0" borderId="1">
      <alignment horizontal="center" vertical="center" wrapText="1"/>
      <protection hidden="1"/>
    </xf>
    <xf numFmtId="0" fontId="50" fillId="21" borderId="2">
      <alignment horizontal="center" vertical="center" wrapText="1"/>
      <protection hidden="1"/>
    </xf>
    <xf numFmtId="0" fontId="50" fillId="21" borderId="1">
      <alignment horizontal="centerContinuous" vertical="center" wrapText="1"/>
      <protection hidden="1"/>
    </xf>
    <xf numFmtId="0" fontId="50" fillId="21" borderId="3">
      <alignment horizontal="center" vertical="center" wrapText="1"/>
      <protection hidden="1"/>
    </xf>
    <xf numFmtId="0" fontId="50" fillId="21" borderId="1">
      <alignment horizontal="center" vertical="center" wrapText="1"/>
      <protection hidden="1"/>
    </xf>
    <xf numFmtId="0" fontId="50" fillId="21" borderId="4">
      <alignment horizontal="center" textRotation="90" wrapText="1"/>
      <protection hidden="1"/>
    </xf>
    <xf numFmtId="0" fontId="38" fillId="3" borderId="0" applyNumberFormat="0" applyBorder="0" applyAlignment="0" applyProtection="0"/>
    <xf numFmtId="44" fontId="1" fillId="22" borderId="0" applyNumberFormat="0" applyBorder="0">
      <protection hidden="1"/>
    </xf>
    <xf numFmtId="42" fontId="51" fillId="23" borderId="5">
      <alignment horizontal="right"/>
      <protection hidden="1"/>
    </xf>
    <xf numFmtId="42" fontId="51" fillId="23" borderId="6">
      <alignment horizontal="right"/>
      <protection hidden="1"/>
    </xf>
    <xf numFmtId="3" fontId="1" fillId="22" borderId="7">
      <alignment horizontal="center"/>
      <protection hidden="1"/>
    </xf>
    <xf numFmtId="3" fontId="1" fillId="22" borderId="8">
      <alignment horizontal="center"/>
      <protection hidden="1"/>
    </xf>
    <xf numFmtId="3" fontId="1" fillId="22" borderId="9">
      <alignment horizontal="center"/>
      <protection hidden="1"/>
    </xf>
    <xf numFmtId="3" fontId="1" fillId="22" borderId="10">
      <alignment horizontal="center"/>
      <protection hidden="1"/>
    </xf>
    <xf numFmtId="0" fontId="50" fillId="22" borderId="11">
      <protection hidden="1"/>
    </xf>
    <xf numFmtId="0" fontId="52" fillId="22" borderId="0">
      <alignment vertical="top" wrapText="1"/>
      <protection hidden="1"/>
    </xf>
    <xf numFmtId="3" fontId="1" fillId="22" borderId="5">
      <alignment horizontal="center"/>
      <protection hidden="1"/>
    </xf>
    <xf numFmtId="3" fontId="1" fillId="22" borderId="5">
      <alignment horizontal="left"/>
      <protection hidden="1"/>
    </xf>
    <xf numFmtId="3" fontId="1" fillId="22" borderId="12">
      <alignment horizontal="right"/>
      <protection hidden="1"/>
    </xf>
    <xf numFmtId="3" fontId="1" fillId="22" borderId="13">
      <alignment horizontal="center"/>
      <protection hidden="1"/>
    </xf>
    <xf numFmtId="3" fontId="1" fillId="22" borderId="14">
      <alignment horizontal="center"/>
      <protection hidden="1"/>
    </xf>
    <xf numFmtId="167" fontId="1" fillId="22" borderId="11">
      <alignment horizontal="center"/>
      <protection hidden="1"/>
    </xf>
    <xf numFmtId="165" fontId="50" fillId="22" borderId="0">
      <alignment horizontal="centerContinuous"/>
      <protection hidden="1"/>
    </xf>
    <xf numFmtId="165" fontId="50" fillId="22" borderId="0">
      <alignment horizontal="center"/>
      <protection hidden="1"/>
    </xf>
    <xf numFmtId="165" fontId="50" fillId="22" borderId="11">
      <alignment horizontal="center" wrapText="1"/>
      <protection hidden="1"/>
    </xf>
    <xf numFmtId="165" fontId="50" fillId="22" borderId="0">
      <alignment horizontal="center" wrapText="1"/>
      <protection hidden="1"/>
    </xf>
    <xf numFmtId="167" fontId="1" fillId="22" borderId="15">
      <alignment horizontal="center"/>
      <protection hidden="1"/>
    </xf>
    <xf numFmtId="167" fontId="1" fillId="22" borderId="16">
      <alignment horizontal="center"/>
      <protection hidden="1"/>
    </xf>
    <xf numFmtId="164" fontId="1" fillId="22" borderId="11">
      <protection hidden="1"/>
    </xf>
    <xf numFmtId="164" fontId="1" fillId="22" borderId="7">
      <protection hidden="1"/>
    </xf>
    <xf numFmtId="164" fontId="50" fillId="22" borderId="7">
      <protection hidden="1"/>
    </xf>
    <xf numFmtId="164" fontId="50" fillId="22" borderId="17">
      <protection hidden="1"/>
    </xf>
    <xf numFmtId="164" fontId="50" fillId="22" borderId="18">
      <protection hidden="1"/>
    </xf>
    <xf numFmtId="164" fontId="50" fillId="22" borderId="4">
      <protection hidden="1"/>
    </xf>
    <xf numFmtId="164" fontId="50" fillId="22" borderId="10">
      <protection hidden="1"/>
    </xf>
    <xf numFmtId="164" fontId="50" fillId="22" borderId="3">
      <protection hidden="1"/>
    </xf>
    <xf numFmtId="164" fontId="50" fillId="22" borderId="2">
      <protection hidden="1"/>
    </xf>
    <xf numFmtId="164" fontId="50" fillId="22" borderId="19">
      <protection hidden="1"/>
    </xf>
    <xf numFmtId="164" fontId="1" fillId="22" borderId="11">
      <alignment horizontal="center"/>
      <protection hidden="1"/>
    </xf>
    <xf numFmtId="167" fontId="1" fillId="22" borderId="11">
      <protection hidden="1"/>
    </xf>
    <xf numFmtId="167" fontId="1" fillId="22" borderId="7">
      <protection hidden="1"/>
    </xf>
    <xf numFmtId="167" fontId="1" fillId="22" borderId="8">
      <protection hidden="1"/>
    </xf>
    <xf numFmtId="167" fontId="1" fillId="22" borderId="10">
      <protection hidden="1"/>
    </xf>
    <xf numFmtId="167" fontId="1" fillId="22" borderId="16">
      <protection hidden="1"/>
    </xf>
    <xf numFmtId="167" fontId="1" fillId="22" borderId="20">
      <protection hidden="1"/>
    </xf>
    <xf numFmtId="167" fontId="1" fillId="22" borderId="19">
      <protection hidden="1"/>
    </xf>
    <xf numFmtId="164" fontId="1" fillId="22" borderId="16">
      <protection hidden="1"/>
    </xf>
    <xf numFmtId="164" fontId="1" fillId="22" borderId="20">
      <protection hidden="1"/>
    </xf>
    <xf numFmtId="164" fontId="1" fillId="22" borderId="19">
      <protection hidden="1"/>
    </xf>
    <xf numFmtId="174" fontId="1" fillId="22" borderId="5">
      <alignment horizontal="center"/>
      <protection hidden="1"/>
    </xf>
    <xf numFmtId="2" fontId="1" fillId="22" borderId="11">
      <alignment horizontal="center"/>
      <protection hidden="1"/>
    </xf>
    <xf numFmtId="2" fontId="1" fillId="22" borderId="7">
      <alignment horizontal="center"/>
      <protection hidden="1"/>
    </xf>
    <xf numFmtId="4" fontId="1" fillId="22" borderId="8">
      <alignment horizontal="center"/>
      <protection hidden="1"/>
    </xf>
    <xf numFmtId="4" fontId="1" fillId="22" borderId="9">
      <alignment horizontal="center"/>
      <protection hidden="1"/>
    </xf>
    <xf numFmtId="4" fontId="1" fillId="22" borderId="10">
      <alignment horizontal="center"/>
      <protection hidden="1"/>
    </xf>
    <xf numFmtId="167" fontId="50" fillId="22" borderId="18">
      <protection hidden="1"/>
    </xf>
    <xf numFmtId="2" fontId="1" fillId="22" borderId="16">
      <alignment horizontal="center"/>
      <protection hidden="1"/>
    </xf>
    <xf numFmtId="2" fontId="1" fillId="22" borderId="19">
      <alignment horizontal="center"/>
      <protection hidden="1"/>
    </xf>
    <xf numFmtId="3" fontId="1" fillId="22" borderId="16">
      <alignment horizontal="center"/>
      <protection hidden="1"/>
    </xf>
    <xf numFmtId="165" fontId="1" fillId="22" borderId="21">
      <alignment horizontal="left"/>
      <protection hidden="1"/>
    </xf>
    <xf numFmtId="165" fontId="1" fillId="22" borderId="16">
      <alignment horizontal="left"/>
      <protection hidden="1"/>
    </xf>
    <xf numFmtId="165" fontId="50" fillId="22" borderId="5">
      <alignment horizontal="left"/>
      <protection hidden="1"/>
    </xf>
    <xf numFmtId="165" fontId="50" fillId="22" borderId="6">
      <alignment horizontal="left"/>
      <protection hidden="1"/>
    </xf>
    <xf numFmtId="0" fontId="1" fillId="22" borderId="22">
      <alignment horizontal="left"/>
      <protection hidden="1"/>
    </xf>
    <xf numFmtId="165" fontId="1" fillId="22" borderId="23">
      <alignment horizontal="left"/>
      <protection hidden="1"/>
    </xf>
    <xf numFmtId="9" fontId="1" fillId="22" borderId="11">
      <protection hidden="1"/>
    </xf>
    <xf numFmtId="175" fontId="1" fillId="22" borderId="11">
      <alignment horizontal="center"/>
      <protection hidden="1"/>
    </xf>
    <xf numFmtId="175" fontId="1" fillId="22" borderId="7">
      <alignment horizontal="center"/>
      <protection hidden="1"/>
    </xf>
    <xf numFmtId="175" fontId="1" fillId="22" borderId="8">
      <alignment horizontal="center"/>
      <protection hidden="1"/>
    </xf>
    <xf numFmtId="175" fontId="1" fillId="22" borderId="9">
      <alignment horizontal="center"/>
      <protection hidden="1"/>
    </xf>
    <xf numFmtId="175" fontId="1" fillId="22" borderId="2">
      <alignment horizontal="center"/>
      <protection hidden="1"/>
    </xf>
    <xf numFmtId="175" fontId="1" fillId="22" borderId="16">
      <alignment horizontal="center"/>
      <protection hidden="1"/>
    </xf>
    <xf numFmtId="175" fontId="1" fillId="22" borderId="18">
      <alignment horizontal="center"/>
      <protection hidden="1"/>
    </xf>
    <xf numFmtId="175" fontId="1" fillId="22" borderId="3">
      <alignment horizontal="center"/>
      <protection hidden="1"/>
    </xf>
    <xf numFmtId="165" fontId="1" fillId="22" borderId="12">
      <alignment horizontal="left"/>
      <protection hidden="1"/>
    </xf>
    <xf numFmtId="176" fontId="1" fillId="22" borderId="11">
      <alignment horizontal="center"/>
      <protection hidden="1"/>
    </xf>
    <xf numFmtId="176" fontId="1" fillId="22" borderId="16">
      <alignment horizontal="center"/>
      <protection hidden="1"/>
    </xf>
    <xf numFmtId="1" fontId="1" fillId="22" borderId="5">
      <alignment horizontal="center"/>
      <protection hidden="1"/>
    </xf>
    <xf numFmtId="0" fontId="39" fillId="24" borderId="24" applyNumberFormat="0" applyAlignment="0" applyProtection="0"/>
    <xf numFmtId="38" fontId="7" fillId="0" borderId="25" applyFill="0" applyBorder="0">
      <alignment horizontal="center"/>
      <protection locked="0"/>
    </xf>
    <xf numFmtId="168" fontId="1" fillId="25" borderId="26" applyNumberFormat="0" applyBorder="0">
      <protection locked="0"/>
    </xf>
    <xf numFmtId="0" fontId="2" fillId="0" borderId="0" applyFont="0" applyFill="0" applyBorder="0" applyAlignment="0" applyProtection="0">
      <alignment vertical="top"/>
    </xf>
    <xf numFmtId="0" fontId="3" fillId="21" borderId="0" applyNumberFormat="0" applyBorder="0">
      <protection locked="0"/>
    </xf>
    <xf numFmtId="0" fontId="40" fillId="0" borderId="0" applyNumberFormat="0" applyFill="0" applyBorder="0" applyAlignment="0" applyProtection="0"/>
    <xf numFmtId="0" fontId="1" fillId="0" borderId="27">
      <alignment horizontal="center"/>
      <protection hidden="1"/>
    </xf>
    <xf numFmtId="0" fontId="1" fillId="0" borderId="28">
      <alignment horizontal="center"/>
      <protection hidden="1"/>
    </xf>
    <xf numFmtId="0" fontId="53" fillId="0" borderId="17">
      <alignment horizontal="center"/>
      <protection hidden="1"/>
    </xf>
    <xf numFmtId="0" fontId="41" fillId="0" borderId="0" applyNumberFormat="0" applyFill="0" applyBorder="0" applyAlignment="0">
      <alignment vertical="top"/>
    </xf>
    <xf numFmtId="164" fontId="41" fillId="26" borderId="0" applyNumberFormat="0" applyBorder="0" applyAlignment="0">
      <alignment vertical="center"/>
      <protection hidden="1"/>
    </xf>
    <xf numFmtId="0" fontId="5" fillId="27" borderId="26">
      <alignment horizontal="center" vertical="center"/>
      <protection locked="0"/>
    </xf>
    <xf numFmtId="2" fontId="2" fillId="0" borderId="0" applyFont="0" applyFill="0" applyBorder="0" applyAlignment="0" applyProtection="0">
      <alignment vertical="top"/>
    </xf>
    <xf numFmtId="0" fontId="42" fillId="4" borderId="0" applyNumberFormat="0" applyBorder="0" applyAlignment="0" applyProtection="0"/>
    <xf numFmtId="0" fontId="4" fillId="28" borderId="29" applyNumberFormat="0">
      <alignment horizontal="left" vertical="top"/>
    </xf>
    <xf numFmtId="0" fontId="5" fillId="29" borderId="18" applyNumberFormat="0">
      <alignment horizontal="left" indent="1"/>
    </xf>
    <xf numFmtId="0" fontId="43" fillId="0" borderId="30" applyNumberFormat="0" applyFill="0" applyAlignment="0" applyProtection="0"/>
    <xf numFmtId="0" fontId="43" fillId="0" borderId="0" applyNumberFormat="0" applyFill="0" applyBorder="0" applyAlignment="0" applyProtection="0"/>
    <xf numFmtId="0" fontId="44" fillId="7" borderId="31" applyNumberFormat="0" applyAlignment="0" applyProtection="0"/>
    <xf numFmtId="0" fontId="6" fillId="30" borderId="32" applyNumberFormat="0" applyFont="0" applyBorder="0" applyAlignment="0">
      <alignment vertical="center" wrapText="1"/>
      <protection hidden="1"/>
    </xf>
    <xf numFmtId="0" fontId="45" fillId="0" borderId="33" applyNumberFormat="0" applyFill="0" applyAlignment="0" applyProtection="0"/>
    <xf numFmtId="0" fontId="46" fillId="31" borderId="0" applyNumberFormat="0" applyBorder="0" applyAlignment="0" applyProtection="0"/>
    <xf numFmtId="0" fontId="1" fillId="0" borderId="0" applyAlignment="0">
      <protection hidden="1"/>
    </xf>
    <xf numFmtId="0" fontId="55" fillId="0" borderId="32">
      <alignment horizontal="left" indent="2"/>
      <protection hidden="1"/>
    </xf>
    <xf numFmtId="0" fontId="56" fillId="0" borderId="32">
      <protection hidden="1"/>
    </xf>
    <xf numFmtId="0" fontId="56" fillId="0" borderId="34">
      <protection hidden="1"/>
    </xf>
    <xf numFmtId="42" fontId="1" fillId="0" borderId="35">
      <protection hidden="1"/>
    </xf>
    <xf numFmtId="0" fontId="1" fillId="0" borderId="36">
      <protection hidden="1"/>
    </xf>
    <xf numFmtId="0" fontId="1" fillId="0" borderId="8">
      <protection hidden="1"/>
    </xf>
    <xf numFmtId="0" fontId="1" fillId="0" borderId="37">
      <protection hidden="1"/>
    </xf>
    <xf numFmtId="0" fontId="1" fillId="0" borderId="38">
      <protection hidden="1"/>
    </xf>
    <xf numFmtId="0" fontId="1" fillId="0" borderId="29">
      <protection hidden="1"/>
    </xf>
    <xf numFmtId="0" fontId="5" fillId="0" borderId="19">
      <alignment horizontal="centerContinuous"/>
      <protection hidden="1"/>
    </xf>
    <xf numFmtId="0" fontId="50" fillId="0" borderId="36">
      <alignment horizontal="center"/>
      <protection hidden="1"/>
    </xf>
    <xf numFmtId="0" fontId="50" fillId="0" borderId="5">
      <alignment horizontal="center"/>
      <protection hidden="1"/>
    </xf>
    <xf numFmtId="0" fontId="50" fillId="0" borderId="35">
      <alignment horizontal="center"/>
      <protection hidden="1"/>
    </xf>
    <xf numFmtId="0" fontId="50" fillId="0" borderId="39">
      <alignment horizontal="center"/>
      <protection hidden="1"/>
    </xf>
    <xf numFmtId="0" fontId="50" fillId="0" borderId="5">
      <alignment horizontal="centerContinuous"/>
      <protection hidden="1"/>
    </xf>
    <xf numFmtId="0" fontId="50" fillId="0" borderId="18">
      <alignment horizontal="center"/>
      <protection hidden="1"/>
    </xf>
    <xf numFmtId="0" fontId="50" fillId="0" borderId="16">
      <alignment horizontal="left"/>
      <protection hidden="1"/>
    </xf>
    <xf numFmtId="0" fontId="50" fillId="0" borderId="0">
      <alignment horizontal="center"/>
      <protection hidden="1"/>
    </xf>
    <xf numFmtId="0" fontId="51" fillId="0" borderId="0">
      <alignment horizontal="center"/>
      <protection hidden="1"/>
    </xf>
    <xf numFmtId="0" fontId="7" fillId="0" borderId="19">
      <alignment horizontal="centerContinuous"/>
      <protection hidden="1"/>
    </xf>
    <xf numFmtId="0" fontId="51" fillId="0" borderId="0">
      <alignment horizontal="left" indent="2"/>
      <protection hidden="1"/>
    </xf>
    <xf numFmtId="0" fontId="7" fillId="0" borderId="16">
      <alignment horizontal="left"/>
      <protection hidden="1"/>
    </xf>
    <xf numFmtId="0" fontId="7" fillId="0" borderId="32">
      <alignment horizontal="left"/>
      <protection hidden="1"/>
    </xf>
    <xf numFmtId="0" fontId="7" fillId="0" borderId="13">
      <alignment horizontal="right"/>
      <protection hidden="1"/>
    </xf>
    <xf numFmtId="0" fontId="50" fillId="0" borderId="36">
      <alignment horizontal="right"/>
      <protection hidden="1"/>
    </xf>
    <xf numFmtId="0" fontId="50" fillId="0" borderId="4">
      <alignment horizontal="right"/>
      <protection hidden="1"/>
    </xf>
    <xf numFmtId="0" fontId="50" fillId="0" borderId="40">
      <alignment horizontal="right"/>
      <protection hidden="1"/>
    </xf>
    <xf numFmtId="0" fontId="1" fillId="0" borderId="5">
      <protection hidden="1"/>
    </xf>
    <xf numFmtId="0" fontId="56" fillId="0" borderId="5">
      <protection hidden="1"/>
    </xf>
    <xf numFmtId="0" fontId="1" fillId="0" borderId="35">
      <protection hidden="1"/>
    </xf>
    <xf numFmtId="0" fontId="1" fillId="0" borderId="13">
      <protection hidden="1"/>
    </xf>
    <xf numFmtId="0" fontId="1" fillId="0" borderId="5">
      <alignment horizontal="center"/>
      <protection hidden="1"/>
    </xf>
    <xf numFmtId="0" fontId="1" fillId="0" borderId="35">
      <alignment horizontal="center"/>
      <protection hidden="1"/>
    </xf>
    <xf numFmtId="0" fontId="1" fillId="0" borderId="39">
      <alignment horizontal="center"/>
      <protection hidden="1"/>
    </xf>
    <xf numFmtId="3" fontId="1" fillId="0" borderId="5">
      <alignment horizontal="center"/>
      <protection hidden="1"/>
    </xf>
    <xf numFmtId="3" fontId="1" fillId="0" borderId="35">
      <alignment horizontal="center"/>
      <protection hidden="1"/>
    </xf>
    <xf numFmtId="3" fontId="1" fillId="0" borderId="41">
      <alignment horizontal="center"/>
      <protection hidden="1"/>
    </xf>
    <xf numFmtId="3" fontId="1" fillId="0" borderId="6">
      <alignment horizontal="center"/>
      <protection hidden="1"/>
    </xf>
    <xf numFmtId="0" fontId="1" fillId="0" borderId="25">
      <alignment horizontal="center"/>
      <protection hidden="1"/>
    </xf>
    <xf numFmtId="0" fontId="1" fillId="0" borderId="6">
      <alignment horizontal="center"/>
      <protection hidden="1"/>
    </xf>
    <xf numFmtId="0" fontId="1" fillId="0" borderId="16">
      <alignment horizontal="left" indent="1"/>
      <protection hidden="1"/>
    </xf>
    <xf numFmtId="0" fontId="56" fillId="0" borderId="16">
      <alignment horizontal="left"/>
      <protection hidden="1"/>
    </xf>
    <xf numFmtId="0" fontId="1" fillId="0" borderId="21">
      <protection hidden="1"/>
    </xf>
    <xf numFmtId="0" fontId="56" fillId="0" borderId="32">
      <alignment horizontal="right"/>
      <protection hidden="1"/>
    </xf>
    <xf numFmtId="0" fontId="1" fillId="0" borderId="19">
      <alignment horizontal="left" indent="1"/>
      <protection hidden="1"/>
    </xf>
    <xf numFmtId="0" fontId="1" fillId="0" borderId="23">
      <protection hidden="1"/>
    </xf>
    <xf numFmtId="0" fontId="1" fillId="0" borderId="11">
      <alignment horizontal="right"/>
      <protection hidden="1"/>
    </xf>
    <xf numFmtId="0" fontId="56" fillId="0" borderId="16">
      <alignment horizontal="right"/>
      <protection hidden="1"/>
    </xf>
    <xf numFmtId="0" fontId="56" fillId="0" borderId="14">
      <alignment horizontal="right"/>
      <protection hidden="1"/>
    </xf>
    <xf numFmtId="0" fontId="1" fillId="0" borderId="16">
      <alignment horizontal="right"/>
      <protection hidden="1"/>
    </xf>
    <xf numFmtId="0" fontId="1" fillId="0" borderId="11">
      <alignment horizontal="right" wrapText="1"/>
      <protection hidden="1"/>
    </xf>
    <xf numFmtId="0" fontId="1" fillId="0" borderId="12">
      <protection hidden="1"/>
    </xf>
    <xf numFmtId="0" fontId="1" fillId="0" borderId="8">
      <alignment horizontal="left" wrapText="1" indent="1"/>
      <protection hidden="1"/>
    </xf>
    <xf numFmtId="0" fontId="1" fillId="0" borderId="16">
      <alignment horizontal="left" wrapText="1" indent="1"/>
      <protection hidden="1"/>
    </xf>
    <xf numFmtId="0" fontId="1" fillId="0" borderId="13">
      <protection hidden="1"/>
    </xf>
    <xf numFmtId="0" fontId="1" fillId="0" borderId="16">
      <alignment horizontal="left"/>
      <protection hidden="1"/>
    </xf>
    <xf numFmtId="0" fontId="1" fillId="0" borderId="42">
      <protection hidden="1"/>
    </xf>
    <xf numFmtId="0" fontId="1" fillId="0" borderId="14">
      <alignment horizontal="left" indent="1"/>
      <protection hidden="1"/>
    </xf>
    <xf numFmtId="0" fontId="50" fillId="0" borderId="8">
      <alignment horizontal="center"/>
      <protection hidden="1"/>
    </xf>
    <xf numFmtId="0" fontId="1" fillId="0" borderId="32">
      <alignment horizontal="left" indent="1"/>
      <protection hidden="1"/>
    </xf>
    <xf numFmtId="0" fontId="1" fillId="0" borderId="16">
      <alignment horizontal="left" indent="1"/>
      <protection hidden="1"/>
    </xf>
    <xf numFmtId="0" fontId="1" fillId="0" borderId="32">
      <alignment horizontal="left" indent="2"/>
      <protection hidden="1"/>
    </xf>
    <xf numFmtId="0" fontId="1" fillId="0" borderId="32">
      <protection hidden="1"/>
    </xf>
    <xf numFmtId="0" fontId="1" fillId="0" borderId="43">
      <protection hidden="1"/>
    </xf>
    <xf numFmtId="0" fontId="1" fillId="0" borderId="44">
      <protection hidden="1"/>
    </xf>
    <xf numFmtId="0" fontId="1" fillId="0" borderId="36">
      <alignment horizontal="right"/>
      <protection hidden="1"/>
    </xf>
    <xf numFmtId="0" fontId="1" fillId="0" borderId="45">
      <alignment horizontal="right"/>
      <protection hidden="1"/>
    </xf>
    <xf numFmtId="0" fontId="1" fillId="0" borderId="46">
      <alignment horizontal="left" indent="1"/>
      <protection hidden="1"/>
    </xf>
    <xf numFmtId="0" fontId="1" fillId="0" borderId="8">
      <alignment horizontal="left" indent="1"/>
      <protection hidden="1"/>
    </xf>
    <xf numFmtId="0" fontId="1" fillId="0" borderId="34">
      <alignment horizontal="left" indent="1"/>
      <protection hidden="1"/>
    </xf>
    <xf numFmtId="0" fontId="1" fillId="0" borderId="47">
      <protection hidden="1"/>
    </xf>
    <xf numFmtId="0" fontId="56" fillId="0" borderId="8">
      <alignment horizontal="right"/>
      <protection hidden="1"/>
    </xf>
    <xf numFmtId="0" fontId="56" fillId="0" borderId="37">
      <alignment horizontal="right"/>
      <protection hidden="1"/>
    </xf>
    <xf numFmtId="0" fontId="56" fillId="0" borderId="32">
      <alignment horizontal="right"/>
      <protection hidden="1"/>
    </xf>
    <xf numFmtId="0" fontId="1" fillId="0" borderId="36">
      <alignment horizontal="right"/>
      <protection hidden="1"/>
    </xf>
    <xf numFmtId="0" fontId="1" fillId="0" borderId="8">
      <alignment horizontal="right"/>
      <protection hidden="1"/>
    </xf>
    <xf numFmtId="0" fontId="1" fillId="0" borderId="37">
      <alignment horizontal="right"/>
      <protection hidden="1"/>
    </xf>
    <xf numFmtId="0" fontId="1" fillId="0" borderId="16">
      <alignment horizontal="right"/>
      <protection hidden="1"/>
    </xf>
    <xf numFmtId="0" fontId="1" fillId="0" borderId="32">
      <alignment horizontal="right"/>
      <protection hidden="1"/>
    </xf>
    <xf numFmtId="0" fontId="1" fillId="0" borderId="14">
      <alignment horizontal="right"/>
      <protection hidden="1"/>
    </xf>
    <xf numFmtId="0" fontId="1" fillId="0" borderId="40">
      <alignment horizontal="right"/>
      <protection hidden="1"/>
    </xf>
    <xf numFmtId="0" fontId="1" fillId="0" borderId="26">
      <protection hidden="1"/>
    </xf>
    <xf numFmtId="0" fontId="1" fillId="0" borderId="12">
      <protection hidden="1"/>
    </xf>
    <xf numFmtId="0" fontId="1" fillId="0" borderId="36">
      <protection locked="0" hidden="1"/>
    </xf>
    <xf numFmtId="0" fontId="1" fillId="0" borderId="8">
      <protection locked="0" hidden="1"/>
    </xf>
    <xf numFmtId="0" fontId="1" fillId="0" borderId="37">
      <protection locked="0" hidden="1"/>
    </xf>
    <xf numFmtId="0" fontId="53" fillId="0" borderId="0">
      <protection hidden="1"/>
    </xf>
    <xf numFmtId="0" fontId="1" fillId="32" borderId="48" applyNumberFormat="0" applyFont="0" applyAlignment="0" applyProtection="0"/>
    <xf numFmtId="0" fontId="50" fillId="0" borderId="0">
      <alignment horizontal="left"/>
      <protection hidden="1"/>
    </xf>
    <xf numFmtId="0" fontId="7" fillId="0" borderId="8">
      <alignment horizontal="left"/>
      <protection hidden="1"/>
    </xf>
    <xf numFmtId="0" fontId="7" fillId="0" borderId="16">
      <alignment horizontal="left"/>
      <protection hidden="1"/>
    </xf>
    <xf numFmtId="0" fontId="7" fillId="0" borderId="0">
      <alignment horizontal="right"/>
      <protection hidden="1"/>
    </xf>
    <xf numFmtId="0" fontId="7" fillId="0" borderId="32">
      <alignment horizontal="right"/>
      <protection hidden="1"/>
    </xf>
    <xf numFmtId="0" fontId="7" fillId="0" borderId="26">
      <alignment horizontal="right"/>
      <protection hidden="1"/>
    </xf>
    <xf numFmtId="0" fontId="1" fillId="0" borderId="5">
      <protection hidden="1"/>
    </xf>
    <xf numFmtId="0" fontId="47" fillId="11" borderId="49" applyNumberFormat="0" applyAlignment="0" applyProtection="0"/>
    <xf numFmtId="3" fontId="7" fillId="25" borderId="19" applyNumberFormat="0" applyBorder="0" applyAlignment="0">
      <alignment horizontal="center"/>
      <protection locked="0"/>
    </xf>
    <xf numFmtId="3" fontId="50" fillId="25" borderId="5" applyNumberFormat="0" applyAlignment="0">
      <alignment horizontal="center"/>
      <protection locked="0"/>
    </xf>
    <xf numFmtId="4" fontId="50" fillId="25" borderId="11" applyAlignment="0">
      <alignment horizontal="center"/>
      <protection locked="0"/>
    </xf>
    <xf numFmtId="0" fontId="57" fillId="25" borderId="7">
      <alignment horizontal="center" wrapText="1"/>
      <protection hidden="1"/>
    </xf>
    <xf numFmtId="0" fontId="58" fillId="25" borderId="50">
      <alignment horizontal="center" wrapText="1"/>
      <protection hidden="1"/>
    </xf>
    <xf numFmtId="0" fontId="58" fillId="25" borderId="32">
      <alignment horizontal="center" wrapText="1"/>
      <protection hidden="1"/>
    </xf>
    <xf numFmtId="0" fontId="58" fillId="25" borderId="46">
      <alignment horizontal="center" wrapText="1"/>
      <protection hidden="1"/>
    </xf>
    <xf numFmtId="0" fontId="57" fillId="25" borderId="8">
      <alignment horizontal="center" wrapText="1"/>
      <protection hidden="1"/>
    </xf>
    <xf numFmtId="0" fontId="57" fillId="25" borderId="10">
      <alignment horizontal="center" wrapText="1"/>
      <protection hidden="1"/>
    </xf>
    <xf numFmtId="0" fontId="50" fillId="25" borderId="16">
      <alignment horizontal="center"/>
      <protection locked="0"/>
    </xf>
    <xf numFmtId="0" fontId="50" fillId="25" borderId="19">
      <alignment horizontal="center"/>
      <protection locked="0"/>
    </xf>
    <xf numFmtId="175" fontId="50" fillId="25" borderId="11">
      <alignment horizontal="center"/>
      <protection locked="0"/>
    </xf>
    <xf numFmtId="0" fontId="5" fillId="0" borderId="0" applyFill="0" applyBorder="0">
      <protection hidden="1"/>
    </xf>
    <xf numFmtId="9" fontId="1" fillId="0" borderId="0" applyFont="0" applyFill="0" applyBorder="0" applyAlignment="0" applyProtection="0"/>
    <xf numFmtId="0" fontId="7" fillId="33" borderId="0" applyBorder="0">
      <alignment horizontal="center"/>
      <protection locked="0"/>
    </xf>
    <xf numFmtId="0" fontId="50" fillId="33" borderId="11">
      <alignment horizontal="left"/>
      <protection locked="0"/>
    </xf>
    <xf numFmtId="0" fontId="50" fillId="33" borderId="8">
      <alignment horizontal="left"/>
      <protection locked="0"/>
    </xf>
    <xf numFmtId="0" fontId="50" fillId="33" borderId="11">
      <alignment horizontal="center"/>
      <protection locked="0"/>
    </xf>
    <xf numFmtId="0" fontId="50" fillId="33" borderId="11">
      <alignment horizontal="centerContinuous"/>
      <protection locked="0"/>
    </xf>
    <xf numFmtId="0" fontId="50" fillId="33" borderId="7">
      <alignment horizontal="center"/>
      <protection locked="0"/>
    </xf>
    <xf numFmtId="0" fontId="50" fillId="33" borderId="10">
      <alignment horizontal="center"/>
      <protection locked="0"/>
    </xf>
    <xf numFmtId="0" fontId="50" fillId="33" borderId="16">
      <alignment horizontal="center"/>
      <protection locked="0"/>
    </xf>
    <xf numFmtId="0" fontId="50" fillId="33" borderId="19">
      <alignment horizontal="center"/>
      <protection locked="0"/>
    </xf>
    <xf numFmtId="0" fontId="50" fillId="33" borderId="51">
      <alignment horizontal="center"/>
      <protection locked="0"/>
    </xf>
    <xf numFmtId="0" fontId="50" fillId="33" borderId="16">
      <alignment horizontal="left"/>
      <protection locked="0"/>
    </xf>
    <xf numFmtId="0" fontId="50" fillId="33" borderId="19">
      <alignment horizontal="left"/>
      <protection locked="0"/>
    </xf>
    <xf numFmtId="0" fontId="50" fillId="33" borderId="16">
      <alignment horizontal="left" indent="2"/>
      <protection locked="0"/>
    </xf>
    <xf numFmtId="166" fontId="8" fillId="34" borderId="15">
      <protection hidden="1"/>
    </xf>
    <xf numFmtId="167" fontId="8" fillId="34" borderId="52">
      <alignment horizontal="right"/>
      <protection hidden="1"/>
    </xf>
    <xf numFmtId="167" fontId="8" fillId="34" borderId="7">
      <alignment horizontal="right"/>
      <protection hidden="1"/>
    </xf>
    <xf numFmtId="167" fontId="8" fillId="34" borderId="53">
      <alignment horizontal="right"/>
      <protection hidden="1"/>
    </xf>
    <xf numFmtId="177" fontId="8" fillId="34" borderId="54">
      <alignment horizontal="right"/>
      <protection hidden="1"/>
    </xf>
    <xf numFmtId="177" fontId="8" fillId="34" borderId="53">
      <alignment horizontal="right"/>
      <protection hidden="1"/>
    </xf>
    <xf numFmtId="0" fontId="25" fillId="34" borderId="5">
      <alignment vertical="top" wrapText="1"/>
      <protection hidden="1"/>
    </xf>
    <xf numFmtId="0" fontId="8" fillId="35" borderId="0" applyNumberFormat="0" applyBorder="0"/>
    <xf numFmtId="0" fontId="8" fillId="34" borderId="5">
      <protection hidden="1"/>
    </xf>
    <xf numFmtId="0" fontId="8" fillId="34" borderId="41">
      <protection hidden="1"/>
    </xf>
    <xf numFmtId="0" fontId="8" fillId="34" borderId="11">
      <alignment horizontal="center"/>
      <protection hidden="1"/>
    </xf>
    <xf numFmtId="0" fontId="8" fillId="34" borderId="27">
      <protection hidden="1"/>
    </xf>
    <xf numFmtId="0" fontId="8" fillId="34" borderId="21">
      <protection hidden="1"/>
    </xf>
    <xf numFmtId="10" fontId="59" fillId="34" borderId="55">
      <alignment horizontal="center" vertical="center"/>
      <protection hidden="1"/>
    </xf>
    <xf numFmtId="0" fontId="59" fillId="34" borderId="5">
      <alignment horizontal="right"/>
      <protection hidden="1"/>
    </xf>
    <xf numFmtId="0" fontId="8" fillId="34" borderId="16">
      <protection hidden="1"/>
    </xf>
    <xf numFmtId="0" fontId="8" fillId="34" borderId="22">
      <protection hidden="1"/>
    </xf>
    <xf numFmtId="0" fontId="8" fillId="34" borderId="23">
      <protection hidden="1"/>
    </xf>
    <xf numFmtId="0" fontId="8" fillId="34" borderId="12">
      <protection hidden="1"/>
    </xf>
    <xf numFmtId="0" fontId="7" fillId="35" borderId="56">
      <alignment horizontal="left" indent="2"/>
      <protection hidden="1"/>
    </xf>
    <xf numFmtId="9" fontId="8" fillId="34" borderId="5">
      <protection hidden="1"/>
    </xf>
    <xf numFmtId="10" fontId="8" fillId="34" borderId="5">
      <alignment horizontal="center"/>
      <protection hidden="1"/>
    </xf>
    <xf numFmtId="0" fontId="60" fillId="0" borderId="32">
      <alignment vertical="center" wrapText="1"/>
      <protection hidden="1"/>
    </xf>
    <xf numFmtId="0" fontId="57" fillId="0" borderId="7">
      <alignment horizontal="center" wrapText="1"/>
      <protection hidden="1"/>
    </xf>
    <xf numFmtId="0" fontId="57" fillId="0" borderId="8">
      <alignment horizontal="center" wrapText="1"/>
      <protection hidden="1"/>
    </xf>
    <xf numFmtId="0" fontId="57" fillId="0" borderId="9">
      <alignment horizontal="center" wrapText="1"/>
      <protection hidden="1"/>
    </xf>
    <xf numFmtId="0" fontId="57" fillId="0" borderId="10">
      <alignment horizontal="center" wrapText="1"/>
      <protection hidden="1"/>
    </xf>
    <xf numFmtId="0" fontId="58" fillId="0" borderId="45">
      <alignment horizontal="center" wrapText="1"/>
      <protection hidden="1"/>
    </xf>
    <xf numFmtId="0" fontId="50" fillId="0" borderId="57">
      <alignment horizontal="centerContinuous" vertical="center" wrapText="1"/>
      <protection hidden="1"/>
    </xf>
    <xf numFmtId="0" fontId="50" fillId="0" borderId="7">
      <alignment horizontal="center" wrapText="1"/>
      <protection hidden="1"/>
    </xf>
    <xf numFmtId="0" fontId="50" fillId="0" borderId="8">
      <alignment horizontal="center" wrapText="1"/>
      <protection hidden="1"/>
    </xf>
    <xf numFmtId="0" fontId="50" fillId="0" borderId="10">
      <alignment horizontal="center" wrapText="1"/>
      <protection hidden="1"/>
    </xf>
    <xf numFmtId="0" fontId="50" fillId="0" borderId="11">
      <alignment horizontal="centerContinuous" vertical="center" wrapText="1"/>
      <protection hidden="1"/>
    </xf>
    <xf numFmtId="0" fontId="58" fillId="0" borderId="7">
      <alignment horizontal="centerContinuous" vertical="center" wrapText="1"/>
      <protection hidden="1"/>
    </xf>
    <xf numFmtId="0" fontId="50" fillId="0" borderId="9">
      <alignment horizontal="centerContinuous" vertical="center" wrapText="1"/>
      <protection hidden="1"/>
    </xf>
    <xf numFmtId="0" fontId="58" fillId="0" borderId="16">
      <alignment horizontal="centerContinuous" vertical="center" wrapText="1"/>
      <protection hidden="1"/>
    </xf>
    <xf numFmtId="0" fontId="50" fillId="0" borderId="20">
      <alignment horizontal="centerContinuous" vertical="center" wrapText="1"/>
      <protection hidden="1"/>
    </xf>
    <xf numFmtId="0" fontId="58" fillId="0" borderId="32">
      <alignment horizontal="center" wrapText="1"/>
      <protection hidden="1"/>
    </xf>
    <xf numFmtId="0" fontId="58" fillId="0" borderId="43">
      <alignment horizontal="center" wrapText="1"/>
      <protection hidden="1"/>
    </xf>
    <xf numFmtId="0" fontId="58" fillId="0" borderId="46">
      <alignment horizontal="center" wrapText="1"/>
      <protection hidden="1"/>
    </xf>
    <xf numFmtId="0" fontId="1" fillId="0" borderId="9">
      <alignment horizontal="centerContinuous"/>
      <protection hidden="1"/>
    </xf>
    <xf numFmtId="0" fontId="52" fillId="29" borderId="36"/>
    <xf numFmtId="0" fontId="61" fillId="29" borderId="18">
      <alignment horizontal="centerContinuous"/>
    </xf>
    <xf numFmtId="0" fontId="52" fillId="29" borderId="38">
      <alignment horizontal="centerContinuous"/>
    </xf>
    <xf numFmtId="0" fontId="62" fillId="29" borderId="36"/>
    <xf numFmtId="0" fontId="52" fillId="29" borderId="8">
      <alignment horizontal="centerContinuous"/>
    </xf>
    <xf numFmtId="0" fontId="52" fillId="29" borderId="9">
      <alignment horizontal="centerContinuous"/>
    </xf>
    <xf numFmtId="0" fontId="52" fillId="29" borderId="18">
      <alignment horizontal="centerContinuous"/>
    </xf>
    <xf numFmtId="0" fontId="52" fillId="29" borderId="4">
      <alignment horizontal="centerContinuous"/>
    </xf>
    <xf numFmtId="0" fontId="52" fillId="29" borderId="8">
      <alignment horizontal="left"/>
    </xf>
    <xf numFmtId="0" fontId="52" fillId="29" borderId="4">
      <alignment horizontal="left"/>
    </xf>
    <xf numFmtId="0" fontId="52" fillId="29" borderId="37"/>
    <xf numFmtId="0" fontId="52" fillId="29" borderId="47">
      <alignment horizontal="centerContinuous"/>
    </xf>
    <xf numFmtId="0" fontId="52" fillId="29" borderId="29"/>
    <xf numFmtId="0" fontId="52" fillId="29" borderId="44">
      <alignment horizontal="centerContinuous"/>
    </xf>
    <xf numFmtId="0" fontId="52" fillId="29" borderId="26"/>
    <xf numFmtId="0" fontId="54" fillId="28" borderId="4">
      <alignment horizontal="left" vertical="center"/>
      <protection hidden="1"/>
    </xf>
    <xf numFmtId="0" fontId="50" fillId="28" borderId="29">
      <alignment horizontal="left" vertical="center"/>
      <protection hidden="1"/>
    </xf>
    <xf numFmtId="0" fontId="50" fillId="28" borderId="38">
      <alignment horizontal="left" vertical="center"/>
      <protection hidden="1"/>
    </xf>
    <xf numFmtId="0" fontId="48" fillId="0" borderId="0" applyNumberFormat="0" applyFill="0" applyBorder="0" applyAlignment="0" applyProtection="0"/>
    <xf numFmtId="0" fontId="63" fillId="0" borderId="0">
      <alignment horizontal="left" indent="4"/>
      <protection hidden="1"/>
    </xf>
    <xf numFmtId="0" fontId="1" fillId="0" borderId="36">
      <protection hidden="1"/>
    </xf>
    <xf numFmtId="0" fontId="2" fillId="0" borderId="58" applyNumberFormat="0" applyFont="0" applyFill="0" applyAlignment="0" applyProtection="0">
      <alignment vertical="top"/>
    </xf>
    <xf numFmtId="0" fontId="1" fillId="0" borderId="0" applyNumberFormat="0" applyFont="0" applyFill="0" applyBorder="0">
      <protection locked="0"/>
    </xf>
    <xf numFmtId="168" fontId="9" fillId="27" borderId="0" applyNumberFormat="0" applyFont="0" applyBorder="0" applyAlignment="0">
      <protection locked="0"/>
    </xf>
    <xf numFmtId="0" fontId="52" fillId="27" borderId="59">
      <protection locked="0"/>
    </xf>
    <xf numFmtId="0" fontId="52" fillId="27" borderId="60">
      <protection locked="0"/>
    </xf>
    <xf numFmtId="3" fontId="50" fillId="27" borderId="11">
      <alignment horizontal="center"/>
      <protection locked="0"/>
    </xf>
    <xf numFmtId="0" fontId="50" fillId="27" borderId="61">
      <alignment horizontal="center"/>
      <protection locked="0"/>
    </xf>
    <xf numFmtId="0" fontId="50" fillId="27" borderId="8">
      <alignment horizontal="center"/>
      <protection locked="0"/>
    </xf>
    <xf numFmtId="0" fontId="50" fillId="27" borderId="37">
      <alignment horizontal="center"/>
      <protection locked="0"/>
    </xf>
    <xf numFmtId="0" fontId="50" fillId="27" borderId="5">
      <alignment horizontal="center"/>
      <protection locked="0"/>
    </xf>
    <xf numFmtId="0" fontId="50" fillId="27" borderId="5">
      <alignment horizontal="centerContinuous"/>
      <protection locked="0"/>
    </xf>
    <xf numFmtId="3" fontId="50" fillId="27" borderId="5">
      <alignment horizontal="center"/>
      <protection locked="0"/>
    </xf>
    <xf numFmtId="0" fontId="50" fillId="27" borderId="27">
      <alignment horizontal="center"/>
      <protection locked="0"/>
    </xf>
    <xf numFmtId="3" fontId="50" fillId="27" borderId="16">
      <alignment horizontal="center"/>
      <protection locked="0"/>
    </xf>
    <xf numFmtId="166" fontId="50" fillId="27" borderId="11">
      <protection locked="0"/>
    </xf>
    <xf numFmtId="167" fontId="50" fillId="27" borderId="11">
      <protection locked="0"/>
    </xf>
    <xf numFmtId="167" fontId="50" fillId="27" borderId="7">
      <protection locked="0"/>
    </xf>
    <xf numFmtId="167" fontId="50" fillId="27" borderId="16">
      <protection locked="0"/>
    </xf>
    <xf numFmtId="167" fontId="50" fillId="27" borderId="19">
      <protection locked="0"/>
    </xf>
    <xf numFmtId="166" fontId="50" fillId="27" borderId="16">
      <protection locked="0"/>
    </xf>
    <xf numFmtId="2" fontId="50" fillId="27" borderId="11">
      <alignment horizontal="center"/>
      <protection locked="0"/>
    </xf>
    <xf numFmtId="2" fontId="50" fillId="27" borderId="16">
      <alignment horizontal="center"/>
      <protection locked="0"/>
    </xf>
    <xf numFmtId="0" fontId="50" fillId="27" borderId="16">
      <alignment horizontal="center"/>
      <protection locked="0"/>
    </xf>
    <xf numFmtId="3" fontId="50" fillId="27" borderId="20">
      <alignment horizontal="center"/>
      <protection locked="0"/>
    </xf>
    <xf numFmtId="3" fontId="50" fillId="27" borderId="13">
      <alignment horizontal="left"/>
      <protection locked="0"/>
    </xf>
    <xf numFmtId="0" fontId="50" fillId="27" borderId="7">
      <alignment horizontal="center"/>
      <protection locked="0"/>
    </xf>
    <xf numFmtId="0" fontId="50" fillId="27" borderId="10">
      <alignment horizontal="center"/>
      <protection locked="0"/>
    </xf>
    <xf numFmtId="9" fontId="50" fillId="27" borderId="11">
      <alignment horizontal="center"/>
      <protection locked="0"/>
    </xf>
    <xf numFmtId="10" fontId="50" fillId="27" borderId="11">
      <alignment horizontal="center"/>
      <protection locked="0"/>
    </xf>
    <xf numFmtId="3" fontId="50" fillId="27" borderId="19">
      <alignment horizontal="center"/>
      <protection locked="0"/>
    </xf>
    <xf numFmtId="175" fontId="50" fillId="27" borderId="11">
      <alignment horizontal="center"/>
      <protection locked="0"/>
    </xf>
    <xf numFmtId="175" fontId="50" fillId="27" borderId="16">
      <alignment horizontal="center"/>
      <protection locked="0"/>
    </xf>
    <xf numFmtId="169" fontId="50" fillId="27" borderId="19">
      <alignment horizontal="center"/>
      <protection locked="0"/>
    </xf>
    <xf numFmtId="174" fontId="1" fillId="27" borderId="5">
      <alignment horizontal="center"/>
      <protection locked="0"/>
    </xf>
    <xf numFmtId="174" fontId="1" fillId="27" borderId="6">
      <alignment horizontal="center"/>
      <protection locked="0"/>
    </xf>
    <xf numFmtId="0" fontId="50" fillId="27" borderId="11">
      <alignment horizontal="left"/>
      <protection locked="0"/>
    </xf>
    <xf numFmtId="0" fontId="51" fillId="27" borderId="11">
      <alignment horizontal="left"/>
      <protection locked="0"/>
    </xf>
    <xf numFmtId="0" fontId="50" fillId="27" borderId="8">
      <alignment horizontal="left" indent="2"/>
      <protection locked="0"/>
    </xf>
    <xf numFmtId="0" fontId="50" fillId="27" borderId="16">
      <alignment horizontal="left" indent="2"/>
      <protection locked="0"/>
    </xf>
    <xf numFmtId="0" fontId="1" fillId="27" borderId="5">
      <alignment horizontal="center"/>
      <protection locked="0"/>
    </xf>
    <xf numFmtId="167" fontId="1" fillId="27" borderId="11">
      <protection locked="0"/>
    </xf>
    <xf numFmtId="0" fontId="1" fillId="27" borderId="5">
      <alignment horizontal="right"/>
      <protection locked="0"/>
    </xf>
    <xf numFmtId="0" fontId="1" fillId="27" borderId="19">
      <alignment horizontal="left"/>
      <protection locked="0"/>
    </xf>
    <xf numFmtId="0" fontId="50" fillId="27" borderId="34">
      <protection locked="0"/>
    </xf>
    <xf numFmtId="3" fontId="50" fillId="27" borderId="12">
      <alignment horizontal="center"/>
      <protection locked="0"/>
    </xf>
    <xf numFmtId="3" fontId="50" fillId="27" borderId="22">
      <alignment horizontal="center"/>
      <protection locked="0"/>
    </xf>
    <xf numFmtId="3" fontId="50" fillId="27" borderId="21">
      <alignment horizontal="center"/>
      <protection locked="0"/>
    </xf>
    <xf numFmtId="3" fontId="50" fillId="27" borderId="22">
      <alignment horizontal="center"/>
      <protection locked="0"/>
    </xf>
    <xf numFmtId="0" fontId="49" fillId="0" borderId="0" applyNumberFormat="0" applyFill="0" applyBorder="0" applyAlignment="0" applyProtection="0"/>
  </cellStyleXfs>
  <cellXfs count="674">
    <xf numFmtId="0" fontId="0" fillId="0" borderId="0" xfId="0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11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11" fillId="0" borderId="32" xfId="0" applyFont="1" applyFill="1" applyBorder="1" applyAlignment="1" applyProtection="1">
      <protection hidden="1"/>
    </xf>
    <xf numFmtId="0" fontId="6" fillId="0" borderId="0" xfId="0" applyFont="1" applyProtection="1">
      <protection hidden="1"/>
    </xf>
    <xf numFmtId="0" fontId="13" fillId="25" borderId="4" xfId="0" applyFont="1" applyFill="1" applyBorder="1" applyProtection="1">
      <protection hidden="1"/>
    </xf>
    <xf numFmtId="0" fontId="6" fillId="25" borderId="29" xfId="0" applyFont="1" applyFill="1" applyBorder="1" applyAlignment="1" applyProtection="1">
      <alignment horizontal="right"/>
      <protection hidden="1"/>
    </xf>
    <xf numFmtId="0" fontId="6" fillId="25" borderId="38" xfId="0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6" fillId="0" borderId="0" xfId="0" applyFont="1" applyBorder="1" applyProtection="1">
      <protection hidden="1"/>
    </xf>
    <xf numFmtId="0" fontId="5" fillId="29" borderId="29" xfId="114" applyBorder="1" applyAlignment="1" applyProtection="1">
      <protection hidden="1"/>
    </xf>
    <xf numFmtId="0" fontId="11" fillId="0" borderId="62" xfId="0" applyFont="1" applyFill="1" applyBorder="1" applyAlignment="1" applyProtection="1">
      <protection hidden="1"/>
    </xf>
    <xf numFmtId="0" fontId="11" fillId="0" borderId="63" xfId="0" applyFont="1" applyFill="1" applyBorder="1" applyProtection="1">
      <protection hidden="1"/>
    </xf>
    <xf numFmtId="0" fontId="11" fillId="0" borderId="63" xfId="0" applyFont="1" applyBorder="1" applyProtection="1">
      <protection hidden="1"/>
    </xf>
    <xf numFmtId="0" fontId="11" fillId="0" borderId="64" xfId="0" applyFont="1" applyFill="1" applyBorder="1" applyAlignment="1" applyProtection="1">
      <protection hidden="1"/>
    </xf>
    <xf numFmtId="0" fontId="5" fillId="29" borderId="4" xfId="114" applyFont="1" applyBorder="1" applyAlignment="1" applyProtection="1">
      <protection hidden="1"/>
    </xf>
    <xf numFmtId="0" fontId="11" fillId="0" borderId="65" xfId="0" applyFont="1" applyFill="1" applyBorder="1" applyProtection="1">
      <protection hidden="1"/>
    </xf>
    <xf numFmtId="0" fontId="11" fillId="0" borderId="66" xfId="0" applyFont="1" applyFill="1" applyBorder="1" applyAlignment="1" applyProtection="1">
      <protection hidden="1"/>
    </xf>
    <xf numFmtId="0" fontId="11" fillId="0" borderId="62" xfId="0" applyFont="1" applyBorder="1" applyProtection="1">
      <protection hidden="1"/>
    </xf>
    <xf numFmtId="0" fontId="11" fillId="0" borderId="65" xfId="0" applyFont="1" applyFill="1" applyBorder="1" applyAlignment="1" applyProtection="1">
      <protection hidden="1"/>
    </xf>
    <xf numFmtId="0" fontId="11" fillId="0" borderId="67" xfId="0" applyFont="1" applyBorder="1" applyProtection="1">
      <protection hidden="1"/>
    </xf>
    <xf numFmtId="0" fontId="0" fillId="0" borderId="27" xfId="0" applyBorder="1" applyProtection="1">
      <protection hidden="1"/>
    </xf>
    <xf numFmtId="0" fontId="6" fillId="0" borderId="44" xfId="0" applyFont="1" applyBorder="1" applyProtection="1">
      <protection hidden="1"/>
    </xf>
    <xf numFmtId="5" fontId="8" fillId="0" borderId="26" xfId="252" applyNumberFormat="1" applyFill="1" applyBorder="1" applyProtection="1">
      <protection hidden="1"/>
    </xf>
    <xf numFmtId="0" fontId="12" fillId="0" borderId="32" xfId="0" applyFont="1" applyBorder="1" applyProtection="1"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34" xfId="0" applyFont="1" applyBorder="1" applyAlignment="1" applyProtection="1">
      <alignment horizontal="right"/>
      <protection hidden="1"/>
    </xf>
    <xf numFmtId="2" fontId="6" fillId="0" borderId="0" xfId="0" applyNumberFormat="1" applyFont="1" applyBorder="1" applyAlignment="1" applyProtection="1">
      <alignment horizontal="right"/>
      <protection hidden="1"/>
    </xf>
    <xf numFmtId="0" fontId="0" fillId="0" borderId="8" xfId="0" applyBorder="1">
      <protection hidden="1"/>
    </xf>
    <xf numFmtId="0" fontId="11" fillId="0" borderId="0" xfId="0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protection hidden="1"/>
    </xf>
    <xf numFmtId="0" fontId="6" fillId="25" borderId="29" xfId="0" applyFont="1" applyFill="1" applyBorder="1" applyAlignment="1" applyProtection="1">
      <alignment horizontal="left"/>
      <protection hidden="1"/>
    </xf>
    <xf numFmtId="0" fontId="6" fillId="25" borderId="38" xfId="0" applyFont="1" applyFill="1" applyBorder="1" applyAlignment="1" applyProtection="1">
      <alignment horizontal="left"/>
      <protection hidden="1"/>
    </xf>
    <xf numFmtId="0" fontId="0" fillId="0" borderId="0" xfId="0" applyBorder="1">
      <protection hidden="1"/>
    </xf>
    <xf numFmtId="0" fontId="4" fillId="28" borderId="4" xfId="113" applyFont="1" applyBorder="1">
      <alignment horizontal="left" vertical="top"/>
    </xf>
    <xf numFmtId="0" fontId="4" fillId="28" borderId="29" xfId="113" applyBorder="1">
      <alignment horizontal="left" vertical="top"/>
    </xf>
    <xf numFmtId="0" fontId="0" fillId="0" borderId="34" xfId="0" applyBorder="1">
      <protection hidden="1"/>
    </xf>
    <xf numFmtId="0" fontId="0" fillId="0" borderId="36" xfId="0" applyBorder="1">
      <protection hidden="1"/>
    </xf>
    <xf numFmtId="0" fontId="0" fillId="0" borderId="44" xfId="0" applyBorder="1">
      <protection hidden="1"/>
    </xf>
    <xf numFmtId="0" fontId="4" fillId="28" borderId="4" xfId="113" applyBorder="1">
      <alignment horizontal="left" vertical="top"/>
    </xf>
    <xf numFmtId="0" fontId="0" fillId="0" borderId="0" xfId="0" applyBorder="1" applyAlignment="1" applyProtection="1">
      <alignment horizontal="center"/>
    </xf>
    <xf numFmtId="0" fontId="5" fillId="29" borderId="4" xfId="114" applyBorder="1">
      <alignment horizontal="left" indent="1"/>
    </xf>
    <xf numFmtId="0" fontId="5" fillId="29" borderId="29" xfId="114" applyBorder="1">
      <alignment horizontal="left" indent="1"/>
    </xf>
    <xf numFmtId="0" fontId="5" fillId="29" borderId="38" xfId="114" applyBorder="1">
      <alignment horizontal="left" indent="1"/>
    </xf>
    <xf numFmtId="0" fontId="0" fillId="0" borderId="44" xfId="0" applyFill="1" applyBorder="1">
      <protection hidden="1"/>
    </xf>
    <xf numFmtId="0" fontId="0" fillId="0" borderId="26" xfId="0" applyFill="1" applyBorder="1" applyAlignment="1">
      <alignment horizontal="center"/>
      <protection hidden="1"/>
    </xf>
    <xf numFmtId="17" fontId="0" fillId="0" borderId="0" xfId="0" applyNumberFormat="1" applyBorder="1" applyAlignment="1">
      <alignment horizontal="center"/>
      <protection hidden="1"/>
    </xf>
    <xf numFmtId="0" fontId="0" fillId="0" borderId="4" xfId="0" applyFill="1" applyBorder="1">
      <protection hidden="1"/>
    </xf>
    <xf numFmtId="0" fontId="0" fillId="0" borderId="29" xfId="0" applyFill="1" applyBorder="1" applyAlignment="1">
      <alignment horizontal="center"/>
      <protection hidden="1"/>
    </xf>
    <xf numFmtId="0" fontId="0" fillId="0" borderId="68" xfId="0" applyBorder="1">
      <protection hidden="1"/>
    </xf>
    <xf numFmtId="0" fontId="0" fillId="0" borderId="27" xfId="0" applyBorder="1">
      <protection hidden="1"/>
    </xf>
    <xf numFmtId="0" fontId="0" fillId="0" borderId="5" xfId="0" applyBorder="1">
      <protection hidden="1"/>
    </xf>
    <xf numFmtId="7" fontId="0" fillId="0" borderId="0" xfId="0" applyNumberFormat="1" applyFill="1" applyBorder="1" applyAlignment="1" applyProtection="1">
      <alignment horizontal="center"/>
    </xf>
    <xf numFmtId="167" fontId="0" fillId="0" borderId="0" xfId="0" applyNumberFormat="1" applyFill="1" applyBorder="1" applyAlignment="1">
      <alignment horizontal="center"/>
      <protection hidden="1"/>
    </xf>
    <xf numFmtId="0" fontId="0" fillId="0" borderId="0" xfId="0" applyFill="1" applyBorder="1">
      <protection hidden="1"/>
    </xf>
    <xf numFmtId="0" fontId="0" fillId="0" borderId="0" xfId="0" applyFill="1" applyBorder="1" applyAlignment="1" applyProtection="1">
      <alignment horizontal="center"/>
    </xf>
    <xf numFmtId="170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  <protection hidden="1"/>
    </xf>
    <xf numFmtId="0" fontId="24" fillId="0" borderId="0" xfId="0" applyFont="1" applyFill="1" applyBorder="1" applyAlignment="1" applyProtection="1">
      <alignment horizontal="center"/>
    </xf>
    <xf numFmtId="0" fontId="0" fillId="0" borderId="47" xfId="0" applyBorder="1">
      <protection hidden="1"/>
    </xf>
    <xf numFmtId="0" fontId="0" fillId="0" borderId="0" xfId="0" applyFill="1">
      <protection hidden="1"/>
    </xf>
    <xf numFmtId="0" fontId="5" fillId="29" borderId="4" xfId="114" applyFont="1" applyBorder="1">
      <alignment horizontal="left" indent="1"/>
    </xf>
    <xf numFmtId="0" fontId="5" fillId="29" borderId="26" xfId="114" applyBorder="1" applyAlignment="1" applyProtection="1">
      <protection hidden="1"/>
    </xf>
    <xf numFmtId="0" fontId="11" fillId="0" borderId="69" xfId="0" applyFont="1" applyBorder="1" applyProtection="1">
      <protection hidden="1"/>
    </xf>
    <xf numFmtId="0" fontId="11" fillId="0" borderId="25" xfId="0" applyFont="1" applyBorder="1" applyProtection="1">
      <protection hidden="1"/>
    </xf>
    <xf numFmtId="0" fontId="5" fillId="29" borderId="36" xfId="114" applyBorder="1" applyAlignment="1" applyProtection="1">
      <protection hidden="1"/>
    </xf>
    <xf numFmtId="0" fontId="5" fillId="29" borderId="8" xfId="114" applyFont="1" applyBorder="1" applyAlignment="1" applyProtection="1">
      <protection hidden="1"/>
    </xf>
    <xf numFmtId="0" fontId="5" fillId="29" borderId="37" xfId="114" applyBorder="1" applyAlignment="1" applyProtection="1">
      <protection hidden="1"/>
    </xf>
    <xf numFmtId="0" fontId="0" fillId="0" borderId="6" xfId="0" applyBorder="1">
      <protection hidden="1"/>
    </xf>
    <xf numFmtId="0" fontId="12" fillId="0" borderId="70" xfId="0" applyFont="1" applyBorder="1">
      <protection hidden="1"/>
    </xf>
    <xf numFmtId="166" fontId="11" fillId="0" borderId="27" xfId="0" applyNumberFormat="1" applyFont="1" applyFill="1" applyBorder="1" applyAlignment="1" applyProtection="1">
      <alignment wrapText="1"/>
      <protection hidden="1"/>
    </xf>
    <xf numFmtId="0" fontId="10" fillId="0" borderId="0" xfId="0" applyFont="1">
      <protection hidden="1"/>
    </xf>
    <xf numFmtId="0" fontId="13" fillId="25" borderId="29" xfId="0" applyFont="1" applyFill="1" applyBorder="1" applyProtection="1">
      <protection hidden="1"/>
    </xf>
    <xf numFmtId="0" fontId="11" fillId="0" borderId="16" xfId="0" applyFont="1" applyFill="1" applyBorder="1" applyAlignment="1" applyProtection="1">
      <protection hidden="1"/>
    </xf>
    <xf numFmtId="0" fontId="11" fillId="0" borderId="25" xfId="0" applyFont="1" applyFill="1" applyBorder="1" applyAlignment="1" applyProtection="1">
      <protection hidden="1"/>
    </xf>
    <xf numFmtId="0" fontId="19" fillId="0" borderId="27" xfId="0" applyFont="1" applyBorder="1" applyAlignment="1" applyProtection="1">
      <alignment horizontal="right" vertical="top"/>
      <protection hidden="1"/>
    </xf>
    <xf numFmtId="166" fontId="18" fillId="0" borderId="44" xfId="0" applyNumberFormat="1" applyFont="1" applyFill="1" applyBorder="1" applyAlignment="1" applyProtection="1">
      <alignment horizontal="left"/>
      <protection hidden="1"/>
    </xf>
    <xf numFmtId="0" fontId="6" fillId="0" borderId="26" xfId="0" applyFont="1" applyBorder="1" applyProtection="1">
      <protection hidden="1"/>
    </xf>
    <xf numFmtId="166" fontId="25" fillId="0" borderId="27" xfId="252" applyNumberFormat="1" applyFont="1" applyFill="1" applyBorder="1" applyAlignment="1">
      <alignment horizontal="right" vertical="top"/>
    </xf>
    <xf numFmtId="0" fontId="14" fillId="0" borderId="68" xfId="0" applyFont="1" applyBorder="1" applyProtection="1">
      <protection hidden="1"/>
    </xf>
    <xf numFmtId="0" fontId="14" fillId="0" borderId="27" xfId="0" applyFont="1" applyBorder="1" applyProtection="1">
      <protection hidden="1"/>
    </xf>
    <xf numFmtId="0" fontId="14" fillId="0" borderId="41" xfId="0" applyFont="1" applyBorder="1" applyProtection="1">
      <protection hidden="1"/>
    </xf>
    <xf numFmtId="0" fontId="14" fillId="0" borderId="71" xfId="0" applyFont="1" applyFill="1" applyBorder="1" applyAlignment="1" applyProtection="1">
      <alignment horizontal="center"/>
      <protection hidden="1"/>
    </xf>
    <xf numFmtId="0" fontId="14" fillId="0" borderId="51" xfId="0" applyFont="1" applyFill="1" applyBorder="1" applyAlignment="1" applyProtection="1">
      <alignment horizontal="center"/>
      <protection hidden="1"/>
    </xf>
    <xf numFmtId="0" fontId="19" fillId="0" borderId="41" xfId="0" applyFont="1" applyBorder="1" applyAlignment="1" applyProtection="1">
      <alignment horizontal="right" vertical="top"/>
      <protection hidden="1"/>
    </xf>
    <xf numFmtId="0" fontId="20" fillId="0" borderId="0" xfId="0" applyFont="1" applyBorder="1" applyAlignment="1">
      <alignment horizontal="center" wrapText="1"/>
      <protection hidden="1"/>
    </xf>
    <xf numFmtId="0" fontId="20" fillId="0" borderId="35" xfId="0" applyFont="1" applyBorder="1" applyAlignment="1">
      <alignment horizontal="center" wrapText="1"/>
      <protection hidden="1"/>
    </xf>
    <xf numFmtId="0" fontId="5" fillId="29" borderId="8" xfId="114" applyBorder="1" applyAlignment="1" applyProtection="1">
      <protection hidden="1"/>
    </xf>
    <xf numFmtId="166" fontId="11" fillId="0" borderId="72" xfId="0" applyNumberFormat="1" applyFont="1" applyFill="1" applyBorder="1" applyAlignment="1" applyProtection="1">
      <alignment wrapText="1"/>
      <protection hidden="1"/>
    </xf>
    <xf numFmtId="0" fontId="12" fillId="0" borderId="0" xfId="0" applyFont="1" applyBorder="1">
      <protection hidden="1"/>
    </xf>
    <xf numFmtId="0" fontId="8" fillId="0" borderId="8" xfId="252" applyFill="1" applyBorder="1"/>
    <xf numFmtId="0" fontId="4" fillId="28" borderId="29" xfId="113" applyFont="1" applyBorder="1">
      <alignment horizontal="left" vertical="top"/>
    </xf>
    <xf numFmtId="0" fontId="0" fillId="0" borderId="21" xfId="0" applyBorder="1" applyAlignment="1">
      <alignment horizontal="center"/>
      <protection hidden="1"/>
    </xf>
    <xf numFmtId="0" fontId="0" fillId="0" borderId="1" xfId="0" applyFill="1" applyBorder="1" applyAlignment="1">
      <alignment horizontal="center"/>
      <protection hidden="1"/>
    </xf>
    <xf numFmtId="0" fontId="0" fillId="0" borderId="73" xfId="0" applyBorder="1" applyAlignment="1">
      <alignment horizontal="center"/>
      <protection hidden="1"/>
    </xf>
    <xf numFmtId="0" fontId="0" fillId="0" borderId="61" xfId="0" applyBorder="1" applyAlignment="1">
      <alignment horizontal="center"/>
      <protection hidden="1"/>
    </xf>
    <xf numFmtId="0" fontId="0" fillId="0" borderId="74" xfId="0" applyFill="1" applyBorder="1" applyAlignment="1">
      <alignment horizontal="right" vertical="top"/>
      <protection hidden="1"/>
    </xf>
    <xf numFmtId="0" fontId="0" fillId="0" borderId="75" xfId="0" applyFill="1" applyBorder="1" applyAlignment="1">
      <alignment horizontal="right" vertical="top"/>
      <protection hidden="1"/>
    </xf>
    <xf numFmtId="0" fontId="0" fillId="0" borderId="32" xfId="0" applyBorder="1">
      <protection hidden="1"/>
    </xf>
    <xf numFmtId="0" fontId="8" fillId="0" borderId="44" xfId="252" applyFill="1" applyBorder="1"/>
    <xf numFmtId="0" fontId="14" fillId="0" borderId="8" xfId="0" applyFont="1" applyBorder="1" applyProtection="1">
      <protection hidden="1"/>
    </xf>
    <xf numFmtId="0" fontId="14" fillId="0" borderId="76" xfId="0" applyFont="1" applyFill="1" applyBorder="1" applyAlignment="1" applyProtection="1">
      <alignment horizontal="center"/>
      <protection hidden="1"/>
    </xf>
    <xf numFmtId="0" fontId="13" fillId="25" borderId="26" xfId="0" applyFont="1" applyFill="1" applyBorder="1" applyProtection="1">
      <protection hidden="1"/>
    </xf>
    <xf numFmtId="0" fontId="6" fillId="25" borderId="26" xfId="0" applyFont="1" applyFill="1" applyBorder="1" applyAlignment="1" applyProtection="1">
      <alignment horizontal="right"/>
      <protection hidden="1"/>
    </xf>
    <xf numFmtId="0" fontId="6" fillId="25" borderId="47" xfId="0" applyFont="1" applyFill="1" applyBorder="1" applyAlignment="1" applyProtection="1">
      <alignment horizontal="right"/>
      <protection hidden="1"/>
    </xf>
    <xf numFmtId="0" fontId="0" fillId="0" borderId="56" xfId="0" applyBorder="1">
      <protection hidden="1"/>
    </xf>
    <xf numFmtId="0" fontId="22" fillId="29" borderId="38" xfId="114" applyFont="1" applyBorder="1" applyAlignment="1" applyProtection="1">
      <protection hidden="1"/>
    </xf>
    <xf numFmtId="0" fontId="11" fillId="0" borderId="0" xfId="0" applyFont="1">
      <protection hidden="1"/>
    </xf>
    <xf numFmtId="0" fontId="27" fillId="0" borderId="0" xfId="0" applyFont="1" applyProtection="1">
      <protection hidden="1"/>
    </xf>
    <xf numFmtId="0" fontId="27" fillId="0" borderId="0" xfId="0" applyFont="1" applyProtection="1">
      <protection locked="0" hidden="1"/>
    </xf>
    <xf numFmtId="0" fontId="14" fillId="36" borderId="4" xfId="114" applyFont="1" applyFill="1" applyBorder="1" applyAlignment="1" applyProtection="1">
      <protection hidden="1"/>
    </xf>
    <xf numFmtId="0" fontId="22" fillId="36" borderId="29" xfId="114" applyFont="1" applyFill="1" applyBorder="1" applyAlignment="1" applyProtection="1">
      <protection hidden="1"/>
    </xf>
    <xf numFmtId="0" fontId="22" fillId="36" borderId="38" xfId="114" applyFont="1" applyFill="1" applyBorder="1" applyAlignment="1" applyProtection="1">
      <protection hidden="1"/>
    </xf>
    <xf numFmtId="7" fontId="22" fillId="29" borderId="38" xfId="114" applyNumberFormat="1" applyFont="1" applyBorder="1" applyAlignment="1" applyProtection="1">
      <protection hidden="1"/>
    </xf>
    <xf numFmtId="7" fontId="17" fillId="0" borderId="6" xfId="0" applyNumberFormat="1" applyFont="1" applyBorder="1">
      <protection hidden="1"/>
    </xf>
    <xf numFmtId="0" fontId="19" fillId="0" borderId="0" xfId="0" applyFont="1">
      <protection hidden="1"/>
    </xf>
    <xf numFmtId="7" fontId="22" fillId="36" borderId="38" xfId="114" applyNumberFormat="1" applyFont="1" applyFill="1" applyBorder="1" applyAlignment="1" applyProtection="1">
      <protection hidden="1"/>
    </xf>
    <xf numFmtId="0" fontId="11" fillId="0" borderId="0" xfId="0" applyFont="1" applyBorder="1">
      <protection hidden="1"/>
    </xf>
    <xf numFmtId="0" fontId="5" fillId="29" borderId="3" xfId="114" applyFont="1" applyBorder="1" applyAlignment="1" applyProtection="1">
      <alignment horizontal="center"/>
      <protection hidden="1"/>
    </xf>
    <xf numFmtId="0" fontId="5" fillId="29" borderId="4" xfId="114" applyFont="1" applyBorder="1" applyAlignment="1" applyProtection="1">
      <alignment horizontal="center"/>
      <protection hidden="1"/>
    </xf>
    <xf numFmtId="0" fontId="20" fillId="22" borderId="77" xfId="28" applyNumberFormat="1" applyFont="1" applyBorder="1" applyAlignment="1">
      <alignment horizontal="left"/>
      <protection hidden="1"/>
    </xf>
    <xf numFmtId="0" fontId="20" fillId="22" borderId="40" xfId="28" applyNumberFormat="1" applyFont="1" applyBorder="1" applyAlignment="1">
      <alignment horizontal="left"/>
      <protection hidden="1"/>
    </xf>
    <xf numFmtId="0" fontId="7" fillId="29" borderId="4" xfId="114" applyFont="1" applyBorder="1">
      <alignment horizontal="left" indent="1"/>
    </xf>
    <xf numFmtId="0" fontId="12" fillId="0" borderId="16" xfId="0" applyFont="1" applyBorder="1" applyProtection="1">
      <protection hidden="1"/>
    </xf>
    <xf numFmtId="0" fontId="6" fillId="0" borderId="13" xfId="0" applyFont="1" applyBorder="1" applyAlignment="1" applyProtection="1">
      <alignment horizontal="right"/>
      <protection hidden="1"/>
    </xf>
    <xf numFmtId="0" fontId="12" fillId="0" borderId="68" xfId="0" applyFont="1" applyFill="1" applyBorder="1" applyAlignment="1">
      <alignment horizontal="center"/>
      <protection hidden="1"/>
    </xf>
    <xf numFmtId="0" fontId="0" fillId="0" borderId="11" xfId="0" applyBorder="1" applyAlignment="1">
      <alignment horizontal="center"/>
      <protection hidden="1"/>
    </xf>
    <xf numFmtId="0" fontId="0" fillId="0" borderId="12" xfId="0" applyBorder="1" applyAlignment="1">
      <alignment horizontal="center"/>
      <protection hidden="1"/>
    </xf>
    <xf numFmtId="0" fontId="0" fillId="0" borderId="45" xfId="0" applyBorder="1" applyAlignment="1">
      <alignment horizontal="center"/>
      <protection hidden="1"/>
    </xf>
    <xf numFmtId="0" fontId="0" fillId="0" borderId="27" xfId="0" applyBorder="1" applyAlignment="1">
      <alignment horizontal="left"/>
      <protection hidden="1"/>
    </xf>
    <xf numFmtId="0" fontId="0" fillId="0" borderId="56" xfId="0" applyFill="1" applyBorder="1" applyAlignment="1">
      <alignment horizontal="left"/>
      <protection hidden="1"/>
    </xf>
    <xf numFmtId="0" fontId="0" fillId="0" borderId="68" xfId="0" applyBorder="1" applyAlignment="1">
      <alignment horizontal="left"/>
      <protection hidden="1"/>
    </xf>
    <xf numFmtId="0" fontId="12" fillId="0" borderId="73" xfId="0" applyFont="1" applyFill="1" applyBorder="1" applyAlignment="1">
      <alignment horizontal="center"/>
      <protection hidden="1"/>
    </xf>
    <xf numFmtId="0" fontId="22" fillId="36" borderId="70" xfId="114" applyFont="1" applyFill="1" applyBorder="1" applyAlignment="1" applyProtection="1">
      <alignment horizontal="center"/>
      <protection hidden="1"/>
    </xf>
    <xf numFmtId="0" fontId="22" fillId="36" borderId="3" xfId="114" applyFont="1" applyFill="1" applyBorder="1" applyAlignment="1" applyProtection="1">
      <alignment horizontal="center"/>
      <protection hidden="1"/>
    </xf>
    <xf numFmtId="0" fontId="12" fillId="36" borderId="70" xfId="114" applyFont="1" applyFill="1" applyBorder="1" applyAlignment="1" applyProtection="1">
      <alignment horizontal="center"/>
      <protection hidden="1"/>
    </xf>
    <xf numFmtId="0" fontId="12" fillId="36" borderId="3" xfId="114" applyFont="1" applyFill="1" applyBorder="1" applyAlignment="1" applyProtection="1">
      <alignment horizontal="center"/>
      <protection hidden="1"/>
    </xf>
    <xf numFmtId="5" fontId="8" fillId="0" borderId="44" xfId="252" applyNumberFormat="1" applyFill="1" applyBorder="1" applyProtection="1">
      <protection hidden="1"/>
    </xf>
    <xf numFmtId="0" fontId="6" fillId="0" borderId="32" xfId="0" applyFont="1" applyBorder="1" applyAlignment="1" applyProtection="1">
      <alignment horizontal="right"/>
      <protection hidden="1"/>
    </xf>
    <xf numFmtId="0" fontId="0" fillId="0" borderId="6" xfId="0" applyBorder="1" applyAlignment="1">
      <alignment horizontal="center"/>
      <protection hidden="1"/>
    </xf>
    <xf numFmtId="0" fontId="6" fillId="0" borderId="14" xfId="0" applyFont="1" applyBorder="1" applyAlignment="1" applyProtection="1">
      <alignment horizontal="right"/>
      <protection hidden="1"/>
    </xf>
    <xf numFmtId="0" fontId="11" fillId="0" borderId="16" xfId="0" applyFont="1" applyBorder="1" applyProtection="1">
      <protection hidden="1"/>
    </xf>
    <xf numFmtId="0" fontId="22" fillId="36" borderId="4" xfId="114" applyFont="1" applyFill="1" applyBorder="1" applyAlignment="1" applyProtection="1">
      <protection hidden="1"/>
    </xf>
    <xf numFmtId="0" fontId="22" fillId="29" borderId="4" xfId="114" applyFont="1" applyBorder="1" applyAlignment="1" applyProtection="1">
      <protection hidden="1"/>
    </xf>
    <xf numFmtId="0" fontId="17" fillId="0" borderId="27" xfId="0" applyFont="1" applyBorder="1">
      <protection hidden="1"/>
    </xf>
    <xf numFmtId="0" fontId="17" fillId="0" borderId="56" xfId="0" applyFont="1" applyBorder="1">
      <protection hidden="1"/>
    </xf>
    <xf numFmtId="0" fontId="17" fillId="0" borderId="72" xfId="0" applyFont="1" applyBorder="1">
      <protection hidden="1"/>
    </xf>
    <xf numFmtId="0" fontId="17" fillId="0" borderId="41" xfId="0" applyFont="1" applyBorder="1">
      <protection hidden="1"/>
    </xf>
    <xf numFmtId="0" fontId="14" fillId="0" borderId="78" xfId="0" applyFont="1" applyBorder="1" applyProtection="1">
      <protection hidden="1"/>
    </xf>
    <xf numFmtId="0" fontId="5" fillId="29" borderId="4" xfId="114" applyBorder="1" applyAlignment="1" applyProtection="1">
      <protection hidden="1"/>
    </xf>
    <xf numFmtId="0" fontId="12" fillId="0" borderId="44" xfId="0" applyFont="1" applyBorder="1" applyAlignment="1">
      <alignment horizontal="center"/>
      <protection hidden="1"/>
    </xf>
    <xf numFmtId="0" fontId="0" fillId="0" borderId="8" xfId="0" applyBorder="1" applyAlignment="1">
      <alignment horizontal="right"/>
      <protection hidden="1"/>
    </xf>
    <xf numFmtId="0" fontId="12" fillId="0" borderId="0" xfId="0" applyFont="1" applyAlignment="1">
      <alignment horizontal="center" wrapText="1"/>
      <protection hidden="1"/>
    </xf>
    <xf numFmtId="0" fontId="0" fillId="0" borderId="0" xfId="0" applyAlignment="1">
      <alignment wrapText="1"/>
      <protection hidden="1"/>
    </xf>
    <xf numFmtId="0" fontId="25" fillId="0" borderId="0" xfId="252" applyFont="1" applyFill="1" applyBorder="1" applyAlignment="1">
      <alignment vertical="top" wrapText="1"/>
    </xf>
    <xf numFmtId="0" fontId="25" fillId="0" borderId="0" xfId="252" applyFont="1" applyFill="1" applyBorder="1" applyAlignment="1" applyProtection="1">
      <alignment vertical="top" wrapText="1"/>
    </xf>
    <xf numFmtId="0" fontId="0" fillId="0" borderId="5" xfId="0" applyBorder="1" applyAlignment="1">
      <alignment horizontal="right"/>
      <protection hidden="1"/>
    </xf>
    <xf numFmtId="0" fontId="0" fillId="0" borderId="35" xfId="0" applyBorder="1" applyAlignment="1">
      <alignment horizontal="right"/>
      <protection hidden="1"/>
    </xf>
    <xf numFmtId="166" fontId="25" fillId="0" borderId="8" xfId="252" applyNumberFormat="1" applyFont="1" applyFill="1" applyBorder="1" applyAlignment="1">
      <alignment horizontal="right" vertical="top" wrapText="1"/>
    </xf>
    <xf numFmtId="0" fontId="0" fillId="0" borderId="56" xfId="0" applyFill="1" applyBorder="1">
      <protection hidden="1"/>
    </xf>
    <xf numFmtId="0" fontId="0" fillId="0" borderId="28" xfId="0" applyFill="1" applyBorder="1">
      <protection hidden="1"/>
    </xf>
    <xf numFmtId="0" fontId="0" fillId="0" borderId="27" xfId="0" applyFill="1" applyBorder="1">
      <protection hidden="1"/>
    </xf>
    <xf numFmtId="0" fontId="0" fillId="0" borderId="17" xfId="0" applyFill="1" applyBorder="1">
      <protection hidden="1"/>
    </xf>
    <xf numFmtId="6" fontId="0" fillId="0" borderId="55" xfId="0" applyNumberFormat="1" applyBorder="1">
      <protection hidden="1"/>
    </xf>
    <xf numFmtId="0" fontId="0" fillId="0" borderId="10" xfId="0" applyBorder="1">
      <protection hidden="1"/>
    </xf>
    <xf numFmtId="0" fontId="11" fillId="0" borderId="0" xfId="0" applyFont="1" applyBorder="1" applyAlignment="1">
      <alignment horizontal="left" wrapText="1"/>
      <protection hidden="1"/>
    </xf>
    <xf numFmtId="0" fontId="0" fillId="0" borderId="0" xfId="0" applyBorder="1" applyAlignment="1">
      <alignment horizontal="left" wrapText="1"/>
      <protection hidden="1"/>
    </xf>
    <xf numFmtId="0" fontId="0" fillId="0" borderId="0" xfId="0" applyAlignment="1">
      <alignment vertical="center" wrapText="1"/>
      <protection hidden="1"/>
    </xf>
    <xf numFmtId="0" fontId="0" fillId="0" borderId="0" xfId="0" applyAlignment="1">
      <alignment horizontal="left"/>
      <protection hidden="1"/>
    </xf>
    <xf numFmtId="4" fontId="4" fillId="28" borderId="29" xfId="113" applyNumberFormat="1" applyBorder="1">
      <alignment horizontal="left" vertical="top"/>
    </xf>
    <xf numFmtId="4" fontId="4" fillId="28" borderId="38" xfId="113" applyNumberFormat="1" applyBorder="1">
      <alignment horizontal="left" vertical="top"/>
    </xf>
    <xf numFmtId="0" fontId="12" fillId="0" borderId="5" xfId="0" applyFont="1" applyBorder="1" applyAlignment="1">
      <alignment horizontal="center"/>
      <protection hidden="1"/>
    </xf>
    <xf numFmtId="0" fontId="12" fillId="0" borderId="27" xfId="0" applyFont="1" applyBorder="1" applyAlignment="1">
      <alignment horizontal="center"/>
      <protection hidden="1"/>
    </xf>
    <xf numFmtId="0" fontId="14" fillId="0" borderId="56" xfId="0" applyFont="1" applyBorder="1" applyProtection="1">
      <protection hidden="1"/>
    </xf>
    <xf numFmtId="0" fontId="20" fillId="22" borderId="19" xfId="28" applyNumberFormat="1" applyFont="1" applyBorder="1">
      <protection hidden="1"/>
    </xf>
    <xf numFmtId="0" fontId="14" fillId="0" borderId="68" xfId="0" applyFont="1" applyBorder="1">
      <protection hidden="1"/>
    </xf>
    <xf numFmtId="0" fontId="0" fillId="0" borderId="0" xfId="0" applyProtection="1">
      <protection locked="0" hidden="1"/>
    </xf>
    <xf numFmtId="0" fontId="6" fillId="0" borderId="8" xfId="0" applyFont="1" applyBorder="1" applyAlignment="1" applyProtection="1">
      <alignment horizontal="right"/>
      <protection hidden="1"/>
    </xf>
    <xf numFmtId="0" fontId="0" fillId="0" borderId="37" xfId="0" applyBorder="1">
      <protection hidden="1"/>
    </xf>
    <xf numFmtId="0" fontId="11" fillId="0" borderId="79" xfId="0" applyFont="1" applyFill="1" applyBorder="1" applyAlignment="1" applyProtection="1">
      <protection hidden="1"/>
    </xf>
    <xf numFmtId="0" fontId="0" fillId="0" borderId="0" xfId="0" applyAlignment="1">
      <alignment horizontal="right"/>
      <protection hidden="1"/>
    </xf>
    <xf numFmtId="0" fontId="29" fillId="0" borderId="0" xfId="0" applyFont="1" applyAlignment="1">
      <alignment vertical="center"/>
      <protection hidden="1"/>
    </xf>
    <xf numFmtId="0" fontId="0" fillId="0" borderId="13" xfId="0" applyBorder="1" applyAlignment="1">
      <alignment horizontal="center"/>
      <protection hidden="1"/>
    </xf>
    <xf numFmtId="0" fontId="12" fillId="0" borderId="70" xfId="0" applyFont="1" applyBorder="1" applyAlignment="1" applyProtection="1">
      <alignment horizontal="left" vertical="center"/>
      <protection hidden="1"/>
    </xf>
    <xf numFmtId="0" fontId="7" fillId="33" borderId="38" xfId="232" applyBorder="1" applyAlignment="1">
      <alignment horizontal="center"/>
      <protection locked="0"/>
    </xf>
    <xf numFmtId="0" fontId="0" fillId="0" borderId="56" xfId="0" applyBorder="1" applyAlignment="1">
      <alignment horizontal="center" vertical="center" wrapText="1"/>
      <protection hidden="1"/>
    </xf>
    <xf numFmtId="0" fontId="0" fillId="0" borderId="27" xfId="0" applyBorder="1" applyAlignment="1">
      <alignment horizontal="center" vertical="center" wrapText="1"/>
      <protection hidden="1"/>
    </xf>
    <xf numFmtId="0" fontId="0" fillId="0" borderId="41" xfId="0" applyBorder="1" applyAlignment="1">
      <alignment horizontal="center" vertical="center" wrapText="1"/>
      <protection hidden="1"/>
    </xf>
    <xf numFmtId="0" fontId="30" fillId="29" borderId="29" xfId="114" applyFont="1" applyBorder="1" applyAlignment="1" applyProtection="1">
      <protection hidden="1"/>
    </xf>
    <xf numFmtId="0" fontId="30" fillId="29" borderId="38" xfId="114" applyFont="1" applyBorder="1" applyAlignment="1" applyProtection="1">
      <protection hidden="1"/>
    </xf>
    <xf numFmtId="5" fontId="8" fillId="0" borderId="26" xfId="252" applyNumberFormat="1" applyFont="1" applyFill="1" applyBorder="1" applyProtection="1">
      <protection hidden="1"/>
    </xf>
    <xf numFmtId="5" fontId="8" fillId="0" borderId="47" xfId="252" applyNumberFormat="1" applyFont="1" applyFill="1" applyBorder="1" applyProtection="1">
      <protection hidden="1"/>
    </xf>
    <xf numFmtId="0" fontId="32" fillId="25" borderId="29" xfId="0" applyFont="1" applyFill="1" applyBorder="1" applyProtection="1">
      <protection hidden="1"/>
    </xf>
    <xf numFmtId="0" fontId="33" fillId="25" borderId="29" xfId="0" applyFont="1" applyFill="1" applyBorder="1" applyAlignment="1" applyProtection="1">
      <alignment horizontal="right"/>
      <protection hidden="1"/>
    </xf>
    <xf numFmtId="0" fontId="30" fillId="29" borderId="26" xfId="114" applyFont="1" applyBorder="1" applyAlignment="1" applyProtection="1">
      <protection hidden="1"/>
    </xf>
    <xf numFmtId="0" fontId="30" fillId="29" borderId="47" xfId="114" applyFont="1" applyBorder="1" applyAlignment="1" applyProtection="1">
      <protection hidden="1"/>
    </xf>
    <xf numFmtId="0" fontId="30" fillId="29" borderId="36" xfId="114" applyFont="1" applyBorder="1" applyAlignment="1" applyProtection="1">
      <protection hidden="1"/>
    </xf>
    <xf numFmtId="0" fontId="30" fillId="29" borderId="37" xfId="114" applyFont="1" applyBorder="1" applyAlignment="1" applyProtection="1">
      <protection hidden="1"/>
    </xf>
    <xf numFmtId="0" fontId="31" fillId="0" borderId="5" xfId="0" applyFont="1" applyBorder="1" applyAlignment="1">
      <alignment horizontal="right"/>
      <protection hidden="1"/>
    </xf>
    <xf numFmtId="0" fontId="31" fillId="0" borderId="6" xfId="0" applyFont="1" applyBorder="1" applyAlignment="1">
      <alignment horizontal="right"/>
      <protection hidden="1"/>
    </xf>
    <xf numFmtId="0" fontId="31" fillId="0" borderId="35" xfId="0" applyFont="1" applyBorder="1" applyAlignment="1">
      <alignment horizontal="right"/>
      <protection hidden="1"/>
    </xf>
    <xf numFmtId="0" fontId="31" fillId="0" borderId="39" xfId="0" applyFont="1" applyBorder="1" applyAlignment="1">
      <alignment horizontal="right"/>
      <protection hidden="1"/>
    </xf>
    <xf numFmtId="0" fontId="31" fillId="0" borderId="26" xfId="0" applyFont="1" applyBorder="1">
      <protection hidden="1"/>
    </xf>
    <xf numFmtId="0" fontId="31" fillId="0" borderId="47" xfId="0" applyFont="1" applyBorder="1">
      <protection hidden="1"/>
    </xf>
    <xf numFmtId="44" fontId="31" fillId="0" borderId="26" xfId="28" applyFont="1" applyFill="1" applyBorder="1" applyProtection="1">
      <protection hidden="1"/>
    </xf>
    <xf numFmtId="44" fontId="31" fillId="0" borderId="47" xfId="28" applyFont="1" applyFill="1" applyBorder="1" applyProtection="1">
      <protection hidden="1"/>
    </xf>
    <xf numFmtId="0" fontId="30" fillId="29" borderId="36" xfId="114" applyFont="1" applyBorder="1" applyAlignment="1" applyProtection="1">
      <alignment horizontal="right"/>
      <protection hidden="1"/>
    </xf>
    <xf numFmtId="0" fontId="30" fillId="29" borderId="37" xfId="114" applyFont="1" applyBorder="1" applyAlignment="1" applyProtection="1">
      <alignment horizontal="right"/>
      <protection hidden="1"/>
    </xf>
    <xf numFmtId="0" fontId="30" fillId="29" borderId="29" xfId="114" applyFont="1" applyBorder="1" applyAlignment="1" applyProtection="1">
      <alignment horizontal="right"/>
      <protection hidden="1"/>
    </xf>
    <xf numFmtId="0" fontId="30" fillId="29" borderId="38" xfId="114" applyFont="1" applyBorder="1" applyAlignment="1" applyProtection="1">
      <alignment horizontal="right"/>
      <protection hidden="1"/>
    </xf>
    <xf numFmtId="0" fontId="17" fillId="29" borderId="4" xfId="114" applyFont="1" applyBorder="1" applyAlignment="1" applyProtection="1">
      <protection hidden="1"/>
    </xf>
    <xf numFmtId="7" fontId="17" fillId="29" borderId="38" xfId="114" applyNumberFormat="1" applyFont="1" applyBorder="1" applyAlignment="1" applyProtection="1">
      <protection hidden="1"/>
    </xf>
    <xf numFmtId="0" fontId="4" fillId="0" borderId="57" xfId="113" applyFont="1" applyFill="1" applyBorder="1">
      <alignment horizontal="left" vertical="top"/>
    </xf>
    <xf numFmtId="0" fontId="0" fillId="0" borderId="43" xfId="0" applyBorder="1">
      <protection hidden="1"/>
    </xf>
    <xf numFmtId="0" fontId="0" fillId="0" borderId="41" xfId="0" applyBorder="1">
      <protection hidden="1"/>
    </xf>
    <xf numFmtId="0" fontId="0" fillId="0" borderId="39" xfId="0" applyBorder="1">
      <protection hidden="1"/>
    </xf>
    <xf numFmtId="0" fontId="12" fillId="36" borderId="4" xfId="114" applyFont="1" applyFill="1" applyBorder="1" applyAlignment="1" applyProtection="1">
      <alignment horizontal="center"/>
      <protection hidden="1"/>
    </xf>
    <xf numFmtId="0" fontId="12" fillId="36" borderId="38" xfId="114" applyFont="1" applyFill="1" applyBorder="1" applyAlignment="1" applyProtection="1">
      <alignment horizontal="center"/>
      <protection hidden="1"/>
    </xf>
    <xf numFmtId="0" fontId="14" fillId="0" borderId="77" xfId="0" applyFont="1" applyFill="1" applyBorder="1" applyAlignment="1" applyProtection="1">
      <alignment horizontal="center"/>
      <protection hidden="1"/>
    </xf>
    <xf numFmtId="0" fontId="4" fillId="28" borderId="38" xfId="113" applyFont="1" applyBorder="1">
      <alignment horizontal="left" vertical="top"/>
    </xf>
    <xf numFmtId="0" fontId="0" fillId="0" borderId="3" xfId="0" applyFill="1" applyBorder="1" applyAlignment="1">
      <alignment horizontal="center"/>
      <protection hidden="1"/>
    </xf>
    <xf numFmtId="0" fontId="4" fillId="28" borderId="38" xfId="113" applyBorder="1">
      <alignment horizontal="left" vertical="top"/>
    </xf>
    <xf numFmtId="0" fontId="0" fillId="0" borderId="0" xfId="0" applyFill="1" applyBorder="1" applyAlignment="1">
      <alignment horizontal="right" vertical="top"/>
      <protection hidden="1"/>
    </xf>
    <xf numFmtId="0" fontId="8" fillId="0" borderId="32" xfId="252" applyFill="1" applyBorder="1"/>
    <xf numFmtId="0" fontId="0" fillId="0" borderId="40" xfId="0" applyBorder="1" applyAlignment="1">
      <alignment horizontal="center"/>
      <protection hidden="1"/>
    </xf>
    <xf numFmtId="0" fontId="4" fillId="28" borderId="70" xfId="113" applyFont="1" applyBorder="1">
      <alignment horizontal="left" vertical="top"/>
    </xf>
    <xf numFmtId="0" fontId="0" fillId="0" borderId="70" xfId="0" applyFill="1" applyBorder="1">
      <protection hidden="1"/>
    </xf>
    <xf numFmtId="0" fontId="0" fillId="0" borderId="71" xfId="0" applyBorder="1">
      <protection hidden="1"/>
    </xf>
    <xf numFmtId="0" fontId="0" fillId="0" borderId="51" xfId="0" applyBorder="1">
      <protection hidden="1"/>
    </xf>
    <xf numFmtId="0" fontId="11" fillId="0" borderId="21" xfId="0" applyFont="1" applyBorder="1" applyAlignment="1">
      <alignment horizontal="center"/>
      <protection hidden="1"/>
    </xf>
    <xf numFmtId="0" fontId="34" fillId="0" borderId="0" xfId="0" applyFont="1">
      <protection hidden="1"/>
    </xf>
    <xf numFmtId="0" fontId="1" fillId="22" borderId="3" xfId="28" applyNumberFormat="1" applyBorder="1" applyAlignment="1">
      <alignment horizontal="center"/>
      <protection hidden="1"/>
    </xf>
    <xf numFmtId="0" fontId="20" fillId="22" borderId="6" xfId="28" applyNumberFormat="1" applyFont="1" applyBorder="1">
      <protection hidden="1"/>
    </xf>
    <xf numFmtId="0" fontId="1" fillId="0" borderId="5" xfId="0" applyFont="1" applyBorder="1" applyAlignment="1">
      <alignment horizontal="right"/>
      <protection hidden="1"/>
    </xf>
    <xf numFmtId="0" fontId="1" fillId="0" borderId="6" xfId="0" applyFont="1" applyBorder="1" applyAlignment="1">
      <alignment horizontal="right"/>
      <protection hidden="1"/>
    </xf>
    <xf numFmtId="0" fontId="5" fillId="29" borderId="1" xfId="114" applyFont="1" applyBorder="1" applyAlignment="1" applyProtection="1">
      <alignment horizontal="center"/>
      <protection hidden="1"/>
    </xf>
    <xf numFmtId="0" fontId="19" fillId="0" borderId="25" xfId="0" applyFont="1" applyBorder="1" applyAlignment="1" applyProtection="1">
      <alignment vertical="top"/>
      <protection hidden="1"/>
    </xf>
    <xf numFmtId="0" fontId="19" fillId="0" borderId="22" xfId="0" applyFont="1" applyBorder="1" applyAlignment="1" applyProtection="1">
      <alignment horizontal="right" vertical="top"/>
      <protection hidden="1"/>
    </xf>
    <xf numFmtId="0" fontId="14" fillId="0" borderId="70" xfId="0" applyFont="1" applyBorder="1" applyAlignment="1" applyProtection="1">
      <alignment wrapText="1"/>
      <protection hidden="1"/>
    </xf>
    <xf numFmtId="0" fontId="18" fillId="0" borderId="5" xfId="0" applyFont="1" applyBorder="1" applyAlignment="1">
      <alignment wrapText="1"/>
      <protection hidden="1"/>
    </xf>
    <xf numFmtId="0" fontId="1" fillId="0" borderId="5" xfId="216">
      <protection hidden="1"/>
    </xf>
    <xf numFmtId="0" fontId="0" fillId="0" borderId="39" xfId="0" applyBorder="1" applyAlignment="1">
      <alignment horizontal="center"/>
      <protection hidden="1"/>
    </xf>
    <xf numFmtId="0" fontId="20" fillId="22" borderId="73" xfId="28" applyNumberFormat="1" applyFont="1" applyBorder="1" applyAlignment="1">
      <alignment horizontal="left"/>
      <protection hidden="1"/>
    </xf>
    <xf numFmtId="0" fontId="20" fillId="22" borderId="22" xfId="28" applyNumberFormat="1" applyFont="1" applyBorder="1" applyAlignment="1">
      <alignment horizontal="left"/>
      <protection hidden="1"/>
    </xf>
    <xf numFmtId="0" fontId="0" fillId="0" borderId="17" xfId="0" applyBorder="1" applyAlignment="1">
      <alignment horizontal="left"/>
      <protection hidden="1"/>
    </xf>
    <xf numFmtId="0" fontId="0" fillId="0" borderId="7" xfId="0" applyBorder="1" applyAlignment="1">
      <alignment horizontal="center"/>
      <protection hidden="1"/>
    </xf>
    <xf numFmtId="0" fontId="12" fillId="0" borderId="70" xfId="0" applyFont="1" applyFill="1" applyBorder="1" applyAlignment="1">
      <alignment horizontal="center"/>
      <protection hidden="1"/>
    </xf>
    <xf numFmtId="0" fontId="12" fillId="0" borderId="3" xfId="0" applyFont="1" applyFill="1" applyBorder="1" applyAlignment="1">
      <alignment horizontal="center"/>
      <protection hidden="1"/>
    </xf>
    <xf numFmtId="171" fontId="9" fillId="27" borderId="6" xfId="309" applyNumberFormat="1" applyBorder="1" applyAlignment="1">
      <alignment horizontal="left"/>
      <protection locked="0"/>
    </xf>
    <xf numFmtId="0" fontId="9" fillId="27" borderId="38" xfId="309" applyNumberFormat="1" applyBorder="1">
      <protection locked="0"/>
    </xf>
    <xf numFmtId="0" fontId="9" fillId="27" borderId="5" xfId="309" applyNumberFormat="1" applyBorder="1" applyAlignment="1">
      <alignment vertical="top"/>
      <protection locked="0"/>
    </xf>
    <xf numFmtId="0" fontId="1" fillId="27" borderId="6" xfId="309" applyNumberFormat="1" applyFont="1" applyBorder="1" applyAlignment="1">
      <alignment vertical="top" wrapText="1"/>
      <protection locked="0"/>
    </xf>
    <xf numFmtId="0" fontId="9" fillId="27" borderId="35" xfId="309" applyNumberFormat="1" applyBorder="1" applyAlignment="1">
      <alignment vertical="top"/>
      <protection locked="0"/>
    </xf>
    <xf numFmtId="0" fontId="1" fillId="27" borderId="39" xfId="309" applyNumberFormat="1" applyFont="1" applyBorder="1" applyAlignment="1">
      <alignment vertical="top" wrapText="1"/>
      <protection locked="0"/>
    </xf>
    <xf numFmtId="0" fontId="9" fillId="27" borderId="1" xfId="309" applyNumberFormat="1" applyBorder="1" applyAlignment="1">
      <alignment horizontal="center" vertical="center"/>
      <protection locked="0"/>
    </xf>
    <xf numFmtId="5" fontId="8" fillId="27" borderId="80" xfId="309" applyNumberFormat="1" applyFont="1" applyBorder="1">
      <protection locked="0"/>
    </xf>
    <xf numFmtId="5" fontId="8" fillId="27" borderId="81" xfId="309" applyNumberFormat="1" applyFont="1" applyBorder="1">
      <protection locked="0"/>
    </xf>
    <xf numFmtId="5" fontId="8" fillId="27" borderId="82" xfId="309" applyNumberFormat="1" applyFont="1" applyBorder="1">
      <protection locked="0"/>
    </xf>
    <xf numFmtId="5" fontId="8" fillId="27" borderId="83" xfId="309" applyNumberFormat="1" applyFont="1" applyBorder="1">
      <protection locked="0"/>
    </xf>
    <xf numFmtId="5" fontId="8" fillId="27" borderId="84" xfId="309" applyNumberFormat="1" applyFont="1" applyBorder="1">
      <protection locked="0"/>
    </xf>
    <xf numFmtId="0" fontId="35" fillId="27" borderId="39" xfId="309" applyNumberFormat="1" applyFont="1" applyBorder="1" applyAlignment="1">
      <alignment wrapText="1"/>
      <protection locked="0"/>
    </xf>
    <xf numFmtId="5" fontId="8" fillId="27" borderId="85" xfId="309" applyNumberFormat="1" applyFont="1" applyBorder="1">
      <protection locked="0"/>
    </xf>
    <xf numFmtId="5" fontId="8" fillId="27" borderId="86" xfId="309" applyNumberFormat="1" applyFont="1" applyBorder="1">
      <protection locked="0"/>
    </xf>
    <xf numFmtId="5" fontId="8" fillId="27" borderId="87" xfId="309" applyNumberFormat="1" applyFont="1" applyBorder="1">
      <protection locked="0"/>
    </xf>
    <xf numFmtId="5" fontId="8" fillId="27" borderId="88" xfId="309" applyNumberFormat="1" applyFont="1" applyBorder="1">
      <protection locked="0"/>
    </xf>
    <xf numFmtId="5" fontId="8" fillId="27" borderId="89" xfId="309" applyNumberFormat="1" applyFont="1" applyBorder="1">
      <protection locked="0"/>
    </xf>
    <xf numFmtId="5" fontId="8" fillId="27" borderId="90" xfId="309" applyNumberFormat="1" applyFont="1" applyBorder="1">
      <protection locked="0"/>
    </xf>
    <xf numFmtId="5" fontId="8" fillId="27" borderId="91" xfId="309" applyNumberFormat="1" applyFont="1" applyBorder="1">
      <protection locked="0"/>
    </xf>
    <xf numFmtId="5" fontId="8" fillId="27" borderId="92" xfId="309" applyNumberFormat="1" applyFont="1" applyBorder="1">
      <protection locked="0"/>
    </xf>
    <xf numFmtId="5" fontId="8" fillId="27" borderId="93" xfId="309" applyNumberFormat="1" applyFont="1" applyBorder="1">
      <protection locked="0"/>
    </xf>
    <xf numFmtId="5" fontId="8" fillId="27" borderId="94" xfId="309" applyNumberFormat="1" applyFont="1" applyBorder="1">
      <protection locked="0"/>
    </xf>
    <xf numFmtId="5" fontId="8" fillId="27" borderId="95" xfId="309" applyNumberFormat="1" applyFont="1" applyBorder="1">
      <protection locked="0"/>
    </xf>
    <xf numFmtId="5" fontId="8" fillId="27" borderId="5" xfId="309" applyNumberFormat="1" applyFont="1" applyBorder="1">
      <protection locked="0"/>
    </xf>
    <xf numFmtId="5" fontId="8" fillId="27" borderId="6" xfId="309" applyNumberFormat="1" applyFont="1" applyBorder="1">
      <protection locked="0"/>
    </xf>
    <xf numFmtId="0" fontId="25" fillId="27" borderId="5" xfId="309" applyNumberFormat="1" applyFont="1" applyBorder="1" applyAlignment="1">
      <alignment vertical="top" wrapText="1"/>
      <protection locked="0"/>
    </xf>
    <xf numFmtId="0" fontId="35" fillId="27" borderId="5" xfId="309" applyNumberFormat="1" applyFont="1" applyBorder="1" applyAlignment="1">
      <alignment wrapText="1"/>
      <protection locked="0"/>
    </xf>
    <xf numFmtId="0" fontId="35" fillId="27" borderId="6" xfId="309" applyNumberFormat="1" applyFont="1" applyBorder="1" applyAlignment="1">
      <alignment wrapText="1"/>
      <protection locked="0"/>
    </xf>
    <xf numFmtId="0" fontId="25" fillId="27" borderId="35" xfId="309" applyNumberFormat="1" applyFont="1" applyBorder="1" applyAlignment="1">
      <alignment vertical="top" wrapText="1"/>
      <protection locked="0"/>
    </xf>
    <xf numFmtId="0" fontId="35" fillId="27" borderId="35" xfId="309" applyNumberFormat="1" applyFont="1" applyBorder="1" applyAlignment="1">
      <alignment wrapText="1"/>
      <protection locked="0"/>
    </xf>
    <xf numFmtId="7" fontId="8" fillId="27" borderId="71" xfId="309" applyNumberFormat="1" applyFont="1" applyBorder="1">
      <protection locked="0"/>
    </xf>
    <xf numFmtId="7" fontId="8" fillId="27" borderId="51" xfId="309" applyNumberFormat="1" applyFont="1" applyBorder="1">
      <protection locked="0"/>
    </xf>
    <xf numFmtId="7" fontId="8" fillId="27" borderId="5" xfId="309" applyNumberFormat="1" applyFont="1" applyBorder="1">
      <protection locked="0"/>
    </xf>
    <xf numFmtId="7" fontId="8" fillId="27" borderId="6" xfId="309" applyNumberFormat="1" applyFont="1" applyBorder="1">
      <protection locked="0"/>
    </xf>
    <xf numFmtId="7" fontId="8" fillId="27" borderId="35" xfId="309" applyNumberFormat="1" applyFont="1" applyBorder="1">
      <protection locked="0"/>
    </xf>
    <xf numFmtId="7" fontId="8" fillId="27" borderId="39" xfId="309" applyNumberFormat="1" applyFont="1" applyBorder="1">
      <protection locked="0"/>
    </xf>
    <xf numFmtId="7" fontId="8" fillId="27" borderId="15" xfId="309" applyNumberFormat="1" applyFont="1" applyBorder="1">
      <protection locked="0"/>
    </xf>
    <xf numFmtId="44" fontId="25" fillId="27" borderId="35" xfId="309" applyNumberFormat="1" applyFont="1" applyBorder="1" applyAlignment="1">
      <alignment vertical="top" wrapText="1"/>
      <protection locked="0"/>
    </xf>
    <xf numFmtId="44" fontId="35" fillId="27" borderId="35" xfId="309" applyNumberFormat="1" applyFont="1" applyBorder="1" applyAlignment="1">
      <alignment wrapText="1"/>
      <protection locked="0"/>
    </xf>
    <xf numFmtId="44" fontId="35" fillId="27" borderId="39" xfId="309" applyNumberFormat="1" applyFont="1" applyBorder="1" applyAlignment="1">
      <alignment wrapText="1"/>
      <protection locked="0"/>
    </xf>
    <xf numFmtId="7" fontId="8" fillId="27" borderId="5" xfId="309" applyNumberFormat="1" applyFont="1" applyBorder="1" applyAlignment="1">
      <alignment horizontal="right"/>
      <protection locked="0"/>
    </xf>
    <xf numFmtId="7" fontId="8" fillId="27" borderId="35" xfId="309" applyNumberFormat="1" applyFont="1" applyBorder="1" applyAlignment="1">
      <alignment horizontal="right"/>
      <protection locked="0"/>
    </xf>
    <xf numFmtId="7" fontId="8" fillId="27" borderId="50" xfId="309" applyNumberFormat="1" applyFont="1" applyBorder="1">
      <protection locked="0"/>
    </xf>
    <xf numFmtId="7" fontId="8" fillId="27" borderId="96" xfId="309" applyNumberFormat="1" applyFont="1" applyBorder="1">
      <protection locked="0"/>
    </xf>
    <xf numFmtId="7" fontId="8" fillId="27" borderId="50" xfId="309" applyNumberFormat="1" applyFont="1" applyBorder="1" applyAlignment="1">
      <alignment horizontal="right"/>
      <protection locked="0"/>
    </xf>
    <xf numFmtId="44" fontId="35" fillId="27" borderId="5" xfId="309" applyNumberFormat="1" applyFont="1" applyBorder="1" applyAlignment="1">
      <alignment wrapText="1"/>
      <protection locked="0"/>
    </xf>
    <xf numFmtId="44" fontId="35" fillId="27" borderId="6" xfId="309" applyNumberFormat="1" applyFont="1" applyBorder="1" applyAlignment="1">
      <alignment wrapText="1"/>
      <protection locked="0"/>
    </xf>
    <xf numFmtId="44" fontId="35" fillId="27" borderId="7" xfId="309" applyNumberFormat="1" applyFont="1" applyBorder="1" applyAlignment="1">
      <alignment wrapText="1"/>
      <protection locked="0"/>
    </xf>
    <xf numFmtId="44" fontId="35" fillId="27" borderId="10" xfId="309" applyNumberFormat="1" applyFont="1" applyBorder="1" applyAlignment="1">
      <alignment wrapText="1"/>
      <protection locked="0"/>
    </xf>
    <xf numFmtId="5" fontId="17" fillId="27" borderId="97" xfId="309" applyNumberFormat="1" applyFont="1" applyBorder="1">
      <protection locked="0"/>
    </xf>
    <xf numFmtId="7" fontId="17" fillId="27" borderId="86" xfId="309" applyNumberFormat="1" applyFont="1" applyBorder="1">
      <protection locked="0"/>
    </xf>
    <xf numFmtId="5" fontId="17" fillId="27" borderId="27" xfId="309" applyNumberFormat="1" applyFont="1" applyBorder="1">
      <protection locked="0"/>
    </xf>
    <xf numFmtId="7" fontId="17" fillId="27" borderId="6" xfId="309" applyNumberFormat="1" applyFont="1" applyBorder="1">
      <protection locked="0"/>
    </xf>
    <xf numFmtId="7" fontId="17" fillId="27" borderId="98" xfId="309" applyNumberFormat="1" applyFont="1" applyBorder="1">
      <protection locked="0"/>
    </xf>
    <xf numFmtId="7" fontId="17" fillId="27" borderId="98" xfId="309" applyNumberFormat="1" applyFont="1" applyBorder="1" applyAlignment="1">
      <alignment horizontal="center"/>
      <protection locked="0"/>
    </xf>
    <xf numFmtId="5" fontId="17" fillId="27" borderId="99" xfId="309" applyNumberFormat="1" applyFont="1" applyBorder="1" applyAlignment="1">
      <alignment horizontal="center"/>
      <protection locked="0"/>
    </xf>
    <xf numFmtId="7" fontId="17" fillId="27" borderId="83" xfId="309" applyNumberFormat="1" applyFont="1" applyBorder="1" applyAlignment="1">
      <alignment horizontal="center"/>
      <protection locked="0"/>
    </xf>
    <xf numFmtId="5" fontId="35" fillId="27" borderId="99" xfId="309" applyNumberFormat="1" applyFont="1" applyBorder="1">
      <protection locked="0"/>
    </xf>
    <xf numFmtId="7" fontId="35" fillId="27" borderId="83" xfId="309" applyNumberFormat="1" applyFont="1" applyBorder="1">
      <protection locked="0"/>
    </xf>
    <xf numFmtId="5" fontId="35" fillId="27" borderId="41" xfId="309" applyNumberFormat="1" applyFont="1" applyBorder="1">
      <protection locked="0"/>
    </xf>
    <xf numFmtId="7" fontId="35" fillId="27" borderId="6" xfId="309" applyNumberFormat="1" applyFont="1" applyBorder="1">
      <protection locked="0"/>
    </xf>
    <xf numFmtId="7" fontId="17" fillId="27" borderId="95" xfId="309" applyNumberFormat="1" applyFont="1" applyBorder="1" applyAlignment="1">
      <alignment vertical="top" wrapText="1"/>
      <protection locked="0"/>
    </xf>
    <xf numFmtId="7" fontId="17" fillId="27" borderId="6" xfId="309" applyNumberFormat="1" applyFont="1" applyBorder="1" applyAlignment="1">
      <alignment wrapText="1"/>
      <protection locked="0"/>
    </xf>
    <xf numFmtId="5" fontId="17" fillId="27" borderId="41" xfId="309" applyNumberFormat="1" applyFont="1" applyBorder="1" applyAlignment="1">
      <alignment horizontal="center"/>
      <protection locked="0"/>
    </xf>
    <xf numFmtId="7" fontId="17" fillId="27" borderId="6" xfId="309" applyNumberFormat="1" applyFont="1" applyBorder="1" applyAlignment="1">
      <alignment horizontal="center"/>
      <protection locked="0"/>
    </xf>
    <xf numFmtId="7" fontId="17" fillId="27" borderId="100" xfId="309" applyNumberFormat="1" applyFont="1" applyBorder="1" applyAlignment="1">
      <alignment horizontal="center"/>
      <protection locked="0"/>
    </xf>
    <xf numFmtId="7" fontId="17" fillId="27" borderId="88" xfId="309" applyNumberFormat="1" applyFont="1" applyBorder="1" applyAlignment="1">
      <alignment horizontal="center"/>
      <protection locked="0"/>
    </xf>
    <xf numFmtId="7" fontId="17" fillId="27" borderId="99" xfId="309" applyNumberFormat="1" applyFont="1" applyBorder="1" applyAlignment="1">
      <alignment horizontal="center"/>
      <protection locked="0"/>
    </xf>
    <xf numFmtId="10" fontId="17" fillId="27" borderId="27" xfId="309" applyNumberFormat="1" applyFont="1" applyBorder="1" applyAlignment="1">
      <alignment horizontal="center"/>
      <protection locked="0"/>
    </xf>
    <xf numFmtId="5" fontId="17" fillId="27" borderId="100" xfId="309" applyNumberFormat="1" applyFont="1" applyBorder="1" applyAlignment="1">
      <alignment horizontal="center"/>
      <protection locked="0"/>
    </xf>
    <xf numFmtId="10" fontId="17" fillId="27" borderId="12" xfId="309" applyNumberFormat="1" applyFont="1" applyBorder="1" applyAlignment="1">
      <alignment horizontal="center"/>
      <protection locked="0"/>
    </xf>
    <xf numFmtId="10" fontId="17" fillId="27" borderId="23" xfId="309" applyNumberFormat="1" applyFont="1" applyBorder="1" applyAlignment="1">
      <alignment horizontal="center"/>
      <protection locked="0"/>
    </xf>
    <xf numFmtId="5" fontId="17" fillId="27" borderId="101" xfId="309" applyNumberFormat="1" applyFont="1" applyBorder="1" applyAlignment="1">
      <alignment horizontal="center"/>
      <protection locked="0"/>
    </xf>
    <xf numFmtId="7" fontId="17" fillId="27" borderId="41" xfId="309" applyNumberFormat="1" applyFont="1" applyBorder="1" applyAlignment="1">
      <alignment horizontal="center"/>
      <protection locked="0"/>
    </xf>
    <xf numFmtId="7" fontId="17" fillId="27" borderId="12" xfId="309" applyNumberFormat="1" applyFont="1" applyBorder="1" applyAlignment="1">
      <alignment horizontal="center"/>
      <protection locked="0"/>
    </xf>
    <xf numFmtId="7" fontId="17" fillId="27" borderId="23" xfId="309" applyNumberFormat="1" applyFont="1" applyBorder="1" applyAlignment="1">
      <alignment horizontal="center"/>
      <protection locked="0"/>
    </xf>
    <xf numFmtId="10" fontId="17" fillId="27" borderId="88" xfId="309" applyNumberFormat="1" applyFont="1" applyBorder="1">
      <protection locked="0"/>
    </xf>
    <xf numFmtId="10" fontId="17" fillId="27" borderId="102" xfId="309" applyNumberFormat="1" applyFont="1" applyBorder="1">
      <protection locked="0"/>
    </xf>
    <xf numFmtId="167" fontId="8" fillId="27" borderId="5" xfId="309" applyNumberFormat="1" applyFont="1" applyBorder="1">
      <protection locked="0"/>
    </xf>
    <xf numFmtId="167" fontId="8" fillId="27" borderId="6" xfId="309" applyNumberFormat="1" applyFont="1" applyBorder="1">
      <protection locked="0"/>
    </xf>
    <xf numFmtId="167" fontId="8" fillId="27" borderId="5" xfId="309" applyNumberFormat="1" applyFont="1" applyBorder="1" applyAlignment="1">
      <alignment horizontal="right"/>
      <protection locked="0"/>
    </xf>
    <xf numFmtId="0" fontId="35" fillId="27" borderId="71" xfId="309" applyNumberFormat="1" applyFont="1" applyBorder="1" applyAlignment="1">
      <alignment wrapText="1"/>
      <protection locked="0"/>
    </xf>
    <xf numFmtId="0" fontId="35" fillId="27" borderId="51" xfId="309" applyNumberFormat="1" applyFont="1" applyBorder="1" applyAlignment="1">
      <alignment wrapText="1"/>
      <protection locked="0"/>
    </xf>
    <xf numFmtId="49" fontId="35" fillId="27" borderId="5" xfId="309" applyNumberFormat="1" applyFont="1" applyBorder="1" applyAlignment="1">
      <alignment wrapText="1"/>
      <protection locked="0"/>
    </xf>
    <xf numFmtId="49" fontId="35" fillId="27" borderId="6" xfId="309" applyNumberFormat="1" applyFont="1" applyBorder="1" applyAlignment="1">
      <alignment wrapText="1"/>
      <protection locked="0"/>
    </xf>
    <xf numFmtId="0" fontId="8" fillId="27" borderId="27" xfId="309" applyNumberFormat="1" applyFont="1" applyBorder="1">
      <protection locked="0"/>
    </xf>
    <xf numFmtId="49" fontId="35" fillId="27" borderId="55" xfId="309" applyNumberFormat="1" applyFont="1" applyBorder="1" applyAlignment="1">
      <alignment wrapText="1"/>
      <protection locked="0"/>
    </xf>
    <xf numFmtId="49" fontId="35" fillId="27" borderId="10" xfId="309" applyNumberFormat="1" applyFont="1" applyBorder="1" applyAlignment="1">
      <alignment wrapText="1"/>
      <protection locked="0"/>
    </xf>
    <xf numFmtId="0" fontId="8" fillId="27" borderId="41" xfId="309" applyNumberFormat="1" applyFont="1" applyBorder="1">
      <protection locked="0"/>
    </xf>
    <xf numFmtId="0" fontId="8" fillId="27" borderId="35" xfId="309" applyNumberFormat="1" applyFont="1" applyBorder="1">
      <protection locked="0"/>
    </xf>
    <xf numFmtId="0" fontId="8" fillId="27" borderId="5" xfId="309" applyNumberFormat="1" applyFont="1" applyBorder="1">
      <protection locked="0"/>
    </xf>
    <xf numFmtId="0" fontId="8" fillId="27" borderId="6" xfId="309" applyNumberFormat="1" applyFont="1" applyBorder="1">
      <protection locked="0"/>
    </xf>
    <xf numFmtId="0" fontId="35" fillId="27" borderId="15" xfId="309" applyNumberFormat="1" applyFont="1" applyBorder="1" applyAlignment="1">
      <alignment wrapText="1"/>
      <protection locked="0"/>
    </xf>
    <xf numFmtId="0" fontId="35" fillId="27" borderId="19" xfId="309" applyNumberFormat="1" applyFont="1" applyBorder="1" applyAlignment="1">
      <alignment wrapText="1"/>
      <protection locked="0"/>
    </xf>
    <xf numFmtId="172" fontId="8" fillId="27" borderId="5" xfId="309" applyNumberFormat="1" applyFont="1" applyBorder="1">
      <protection locked="0"/>
    </xf>
    <xf numFmtId="0" fontId="8" fillId="27" borderId="12" xfId="309" applyNumberFormat="1" applyFont="1" applyBorder="1">
      <protection locked="0"/>
    </xf>
    <xf numFmtId="49" fontId="35" fillId="27" borderId="71" xfId="309" applyNumberFormat="1" applyFont="1" applyBorder="1" applyAlignment="1">
      <alignment wrapText="1"/>
      <protection locked="0"/>
    </xf>
    <xf numFmtId="49" fontId="35" fillId="27" borderId="15" xfId="309" applyNumberFormat="1" applyFont="1" applyBorder="1" applyAlignment="1">
      <alignment vertical="top" wrapText="1"/>
      <protection locked="0"/>
    </xf>
    <xf numFmtId="0" fontId="0" fillId="0" borderId="36" xfId="0" applyFill="1" applyBorder="1" applyAlignment="1">
      <alignment horizontal="right" vertical="top"/>
      <protection hidden="1"/>
    </xf>
    <xf numFmtId="0" fontId="35" fillId="27" borderId="55" xfId="309" applyNumberFormat="1" applyFont="1" applyBorder="1" applyAlignment="1">
      <alignment wrapText="1"/>
      <protection locked="0"/>
    </xf>
    <xf numFmtId="0" fontId="35" fillId="27" borderId="10" xfId="309" applyNumberFormat="1" applyFont="1" applyBorder="1" applyAlignment="1">
      <alignment wrapText="1"/>
      <protection locked="0"/>
    </xf>
    <xf numFmtId="167" fontId="8" fillId="27" borderId="15" xfId="309" applyNumberFormat="1" applyFont="1" applyBorder="1">
      <protection locked="0"/>
    </xf>
    <xf numFmtId="167" fontId="8" fillId="27" borderId="19" xfId="309" applyNumberFormat="1" applyFont="1" applyBorder="1">
      <protection locked="0"/>
    </xf>
    <xf numFmtId="0" fontId="0" fillId="0" borderId="35" xfId="0" applyBorder="1" applyAlignment="1">
      <alignment horizontal="center"/>
      <protection hidden="1"/>
    </xf>
    <xf numFmtId="0" fontId="8" fillId="27" borderId="39" xfId="309" applyNumberFormat="1" applyFont="1" applyBorder="1">
      <protection locked="0"/>
    </xf>
    <xf numFmtId="167" fontId="8" fillId="27" borderId="71" xfId="309" applyNumberFormat="1" applyFont="1" applyBorder="1">
      <protection locked="0"/>
    </xf>
    <xf numFmtId="167" fontId="8" fillId="27" borderId="51" xfId="309" applyNumberFormat="1" applyFont="1" applyBorder="1">
      <protection locked="0"/>
    </xf>
    <xf numFmtId="167" fontId="8" fillId="27" borderId="35" xfId="309" applyNumberFormat="1" applyFont="1" applyBorder="1">
      <protection locked="0"/>
    </xf>
    <xf numFmtId="167" fontId="8" fillId="27" borderId="39" xfId="309" applyNumberFormat="1" applyFont="1" applyBorder="1">
      <protection locked="0"/>
    </xf>
    <xf numFmtId="167" fontId="8" fillId="27" borderId="68" xfId="309" applyNumberFormat="1" applyFont="1" applyBorder="1">
      <protection locked="0"/>
    </xf>
    <xf numFmtId="167" fontId="8" fillId="27" borderId="27" xfId="309" applyNumberFormat="1" applyFont="1" applyBorder="1">
      <protection locked="0"/>
    </xf>
    <xf numFmtId="167" fontId="8" fillId="27" borderId="56" xfId="309" applyNumberFormat="1" applyFont="1" applyBorder="1">
      <protection locked="0"/>
    </xf>
    <xf numFmtId="167" fontId="8" fillId="27" borderId="41" xfId="309" applyNumberFormat="1" applyFont="1" applyBorder="1">
      <protection locked="0"/>
    </xf>
    <xf numFmtId="9" fontId="8" fillId="27" borderId="51" xfId="309" applyNumberFormat="1" applyFont="1" applyBorder="1">
      <protection locked="0"/>
    </xf>
    <xf numFmtId="9" fontId="8" fillId="27" borderId="6" xfId="309" applyNumberFormat="1" applyFont="1" applyBorder="1">
      <protection locked="0"/>
    </xf>
    <xf numFmtId="9" fontId="8" fillId="27" borderId="39" xfId="309" applyNumberFormat="1" applyFont="1" applyBorder="1">
      <protection locked="0"/>
    </xf>
    <xf numFmtId="167" fontId="8" fillId="27" borderId="17" xfId="309" applyNumberFormat="1" applyFont="1" applyBorder="1">
      <protection locked="0"/>
    </xf>
    <xf numFmtId="167" fontId="8" fillId="27" borderId="72" xfId="309" applyNumberFormat="1" applyFont="1" applyBorder="1">
      <protection locked="0"/>
    </xf>
    <xf numFmtId="166" fontId="8" fillId="27" borderId="51" xfId="309" applyNumberFormat="1" applyFont="1" applyBorder="1">
      <protection locked="0"/>
    </xf>
    <xf numFmtId="9" fontId="8" fillId="27" borderId="27" xfId="309" applyNumberFormat="1" applyFont="1" applyBorder="1">
      <protection locked="0"/>
    </xf>
    <xf numFmtId="166" fontId="8" fillId="27" borderId="6" xfId="309" applyNumberFormat="1" applyFont="1" applyBorder="1">
      <protection locked="0"/>
    </xf>
    <xf numFmtId="166" fontId="8" fillId="27" borderId="39" xfId="309" applyNumberFormat="1" applyFont="1" applyBorder="1">
      <protection locked="0"/>
    </xf>
    <xf numFmtId="167" fontId="8" fillId="27" borderId="3" xfId="309" applyNumberFormat="1" applyFont="1" applyBorder="1">
      <protection locked="0"/>
    </xf>
    <xf numFmtId="167" fontId="8" fillId="27" borderId="22" xfId="309" applyNumberFormat="1" applyFont="1" applyBorder="1">
      <protection locked="0"/>
    </xf>
    <xf numFmtId="167" fontId="8" fillId="27" borderId="28" xfId="309" applyNumberFormat="1" applyFont="1" applyBorder="1">
      <protection locked="0"/>
    </xf>
    <xf numFmtId="0" fontId="8" fillId="27" borderId="79" xfId="309" applyNumberFormat="1" applyFont="1" applyBorder="1">
      <protection locked="0"/>
    </xf>
    <xf numFmtId="166" fontId="8" fillId="27" borderId="27" xfId="309" applyNumberFormat="1" applyFont="1" applyBorder="1">
      <protection locked="0"/>
    </xf>
    <xf numFmtId="166" fontId="8" fillId="27" borderId="5" xfId="309" applyNumberFormat="1" applyFont="1" applyBorder="1">
      <protection locked="0"/>
    </xf>
    <xf numFmtId="9" fontId="8" fillId="27" borderId="5" xfId="309" applyNumberFormat="1" applyFont="1" applyBorder="1">
      <protection locked="0"/>
    </xf>
    <xf numFmtId="0" fontId="8" fillId="27" borderId="103" xfId="309" applyNumberFormat="1" applyFont="1" applyBorder="1">
      <protection locked="0"/>
    </xf>
    <xf numFmtId="9" fontId="8" fillId="27" borderId="17" xfId="309" applyNumberFormat="1" applyFont="1" applyBorder="1">
      <protection locked="0"/>
    </xf>
    <xf numFmtId="0" fontId="35" fillId="27" borderId="0" xfId="309" applyNumberFormat="1" applyFont="1" applyBorder="1" applyAlignment="1">
      <alignment wrapText="1"/>
      <protection locked="0"/>
    </xf>
    <xf numFmtId="173" fontId="8" fillId="27" borderId="27" xfId="231" applyNumberFormat="1" applyFont="1" applyFill="1" applyBorder="1" applyProtection="1">
      <protection locked="0"/>
    </xf>
    <xf numFmtId="0" fontId="1" fillId="22" borderId="40" xfId="28" applyNumberFormat="1" applyBorder="1">
      <protection hidden="1"/>
    </xf>
    <xf numFmtId="0" fontId="1" fillId="22" borderId="101" xfId="28" applyNumberFormat="1" applyBorder="1">
      <protection hidden="1"/>
    </xf>
    <xf numFmtId="0" fontId="1" fillId="22" borderId="12" xfId="28" applyNumberFormat="1" applyBorder="1">
      <protection hidden="1"/>
    </xf>
    <xf numFmtId="0" fontId="1" fillId="22" borderId="77" xfId="28" applyNumberFormat="1" applyBorder="1">
      <protection hidden="1"/>
    </xf>
    <xf numFmtId="0" fontId="1" fillId="22" borderId="22" xfId="28" applyNumberFormat="1" applyBorder="1">
      <protection hidden="1"/>
    </xf>
    <xf numFmtId="0" fontId="1" fillId="22" borderId="104" xfId="28" applyNumberFormat="1" applyBorder="1">
      <protection hidden="1"/>
    </xf>
    <xf numFmtId="0" fontId="20" fillId="22" borderId="12" xfId="28" applyNumberFormat="1" applyFont="1" applyBorder="1" applyAlignment="1">
      <alignment horizontal="left"/>
      <protection hidden="1"/>
    </xf>
    <xf numFmtId="0" fontId="20" fillId="22" borderId="61" xfId="28" applyNumberFormat="1" applyFont="1" applyBorder="1" applyAlignment="1">
      <alignment horizontal="left"/>
      <protection hidden="1"/>
    </xf>
    <xf numFmtId="0" fontId="20" fillId="22" borderId="101" xfId="28" applyNumberFormat="1" applyFont="1" applyBorder="1" applyAlignment="1">
      <alignment horizontal="left"/>
      <protection hidden="1"/>
    </xf>
    <xf numFmtId="0" fontId="20" fillId="22" borderId="104" xfId="28" applyNumberFormat="1" applyFont="1" applyBorder="1" applyAlignment="1">
      <alignment horizontal="left"/>
      <protection hidden="1"/>
    </xf>
    <xf numFmtId="7" fontId="17" fillId="27" borderId="105" xfId="309" applyNumberFormat="1" applyFont="1" applyBorder="1">
      <protection locked="0"/>
    </xf>
    <xf numFmtId="0" fontId="14" fillId="29" borderId="38" xfId="114" applyFont="1" applyBorder="1" applyAlignment="1" applyProtection="1">
      <protection hidden="1"/>
    </xf>
    <xf numFmtId="10" fontId="17" fillId="27" borderId="98" xfId="309" applyNumberFormat="1" applyFont="1" applyBorder="1">
      <protection locked="0"/>
    </xf>
    <xf numFmtId="7" fontId="17" fillId="27" borderId="19" xfId="309" applyNumberFormat="1" applyFont="1" applyBorder="1">
      <protection locked="0"/>
    </xf>
    <xf numFmtId="7" fontId="17" fillId="0" borderId="19" xfId="0" applyNumberFormat="1" applyFont="1" applyBorder="1">
      <protection hidden="1"/>
    </xf>
    <xf numFmtId="0" fontId="8" fillId="27" borderId="21" xfId="309" applyNumberFormat="1" applyFont="1" applyBorder="1" applyAlignment="1">
      <alignment horizontal="center"/>
      <protection locked="0"/>
    </xf>
    <xf numFmtId="0" fontId="8" fillId="27" borderId="35" xfId="309" applyNumberFormat="1" applyFont="1" applyBorder="1" applyAlignment="1">
      <alignment horizontal="center"/>
      <protection locked="0"/>
    </xf>
    <xf numFmtId="167" fontId="8" fillId="27" borderId="76" xfId="309" applyNumberFormat="1" applyFont="1" applyBorder="1">
      <protection locked="0"/>
    </xf>
    <xf numFmtId="167" fontId="8" fillId="27" borderId="23" xfId="309" applyNumberFormat="1" applyFont="1" applyBorder="1">
      <protection locked="0"/>
    </xf>
    <xf numFmtId="7" fontId="1" fillId="27" borderId="71" xfId="309" applyNumberFormat="1" applyFont="1" applyBorder="1" applyProtection="1">
      <protection locked="0"/>
    </xf>
    <xf numFmtId="7" fontId="1" fillId="27" borderId="5" xfId="309" applyNumberFormat="1" applyFont="1" applyBorder="1" applyProtection="1">
      <protection locked="0"/>
    </xf>
    <xf numFmtId="44" fontId="19" fillId="27" borderId="5" xfId="309" applyNumberFormat="1" applyFont="1" applyBorder="1" applyAlignment="1" applyProtection="1">
      <alignment wrapText="1"/>
      <protection locked="0"/>
    </xf>
    <xf numFmtId="0" fontId="0" fillId="27" borderId="27" xfId="309" applyNumberFormat="1" applyFont="1" applyBorder="1">
      <protection locked="0"/>
    </xf>
    <xf numFmtId="0" fontId="20" fillId="0" borderId="104" xfId="0" applyFont="1" applyBorder="1" applyAlignment="1">
      <alignment horizontal="center" vertical="center" wrapText="1"/>
      <protection hidden="1"/>
    </xf>
    <xf numFmtId="0" fontId="0" fillId="0" borderId="51" xfId="0" applyBorder="1" applyAlignment="1">
      <alignment horizontal="center"/>
      <protection hidden="1"/>
    </xf>
    <xf numFmtId="0" fontId="0" fillId="0" borderId="19" xfId="0" applyBorder="1" applyAlignment="1">
      <alignment horizontal="center"/>
      <protection hidden="1"/>
    </xf>
    <xf numFmtId="0" fontId="14" fillId="29" borderId="18" xfId="114" applyFont="1" applyBorder="1" applyAlignment="1" applyProtection="1">
      <protection hidden="1"/>
    </xf>
    <xf numFmtId="49" fontId="35" fillId="27" borderId="35" xfId="309" applyNumberFormat="1" applyFont="1" applyBorder="1" applyAlignment="1">
      <alignment wrapText="1"/>
      <protection locked="0"/>
    </xf>
    <xf numFmtId="7" fontId="17" fillId="27" borderId="6" xfId="309" applyNumberFormat="1" applyFont="1" applyBorder="1" applyAlignment="1">
      <alignment vertical="top" wrapText="1"/>
      <protection locked="0"/>
    </xf>
    <xf numFmtId="0" fontId="20" fillId="0" borderId="35" xfId="0" applyFont="1" applyBorder="1" applyAlignment="1">
      <alignment horizontal="center" vertical="center" wrapText="1"/>
      <protection hidden="1"/>
    </xf>
    <xf numFmtId="0" fontId="20" fillId="0" borderId="39" xfId="0" applyFont="1" applyBorder="1" applyAlignment="1">
      <alignment horizontal="center" vertical="center" wrapText="1"/>
      <protection hidden="1"/>
    </xf>
    <xf numFmtId="0" fontId="0" fillId="0" borderId="0" xfId="0" applyAlignment="1">
      <alignment vertical="center"/>
      <protection hidden="1"/>
    </xf>
    <xf numFmtId="0" fontId="20" fillId="0" borderId="106" xfId="0" applyFont="1" applyBorder="1" applyAlignment="1">
      <alignment horizontal="center" vertical="center" wrapText="1"/>
      <protection hidden="1"/>
    </xf>
    <xf numFmtId="0" fontId="20" fillId="0" borderId="0" xfId="0" applyFont="1" applyBorder="1" applyAlignment="1">
      <alignment horizontal="center" vertical="center" wrapText="1"/>
      <protection hidden="1"/>
    </xf>
    <xf numFmtId="167" fontId="8" fillId="27" borderId="5" xfId="309" applyNumberFormat="1" applyFont="1" applyBorder="1" applyProtection="1">
      <protection locked="0"/>
    </xf>
    <xf numFmtId="7" fontId="8" fillId="27" borderId="50" xfId="309" applyNumberFormat="1" applyFont="1" applyBorder="1" applyAlignment="1" applyProtection="1">
      <alignment horizontal="right"/>
      <protection locked="0"/>
    </xf>
    <xf numFmtId="7" fontId="8" fillId="27" borderId="5" xfId="309" applyNumberFormat="1" applyFont="1" applyBorder="1" applyProtection="1">
      <protection locked="0"/>
    </xf>
    <xf numFmtId="0" fontId="6" fillId="0" borderId="16" xfId="0" applyFont="1" applyBorder="1" applyAlignment="1" applyProtection="1">
      <alignment horizontal="right"/>
      <protection hidden="1"/>
    </xf>
    <xf numFmtId="0" fontId="0" fillId="0" borderId="14" xfId="0" applyBorder="1">
      <protection hidden="1"/>
    </xf>
    <xf numFmtId="0" fontId="9" fillId="27" borderId="61" xfId="309" applyNumberFormat="1" applyFont="1" applyBorder="1" applyProtection="1">
      <protection locked="0"/>
    </xf>
    <xf numFmtId="7" fontId="8" fillId="27" borderId="71" xfId="309" applyNumberFormat="1" applyFont="1" applyBorder="1" applyProtection="1">
      <protection locked="0"/>
    </xf>
    <xf numFmtId="7" fontId="8" fillId="27" borderId="15" xfId="309" applyNumberFormat="1" applyFont="1" applyBorder="1" applyProtection="1">
      <protection locked="0"/>
    </xf>
    <xf numFmtId="7" fontId="8" fillId="27" borderId="35" xfId="309" applyNumberFormat="1" applyFont="1" applyBorder="1" applyProtection="1">
      <protection locked="0"/>
    </xf>
    <xf numFmtId="7" fontId="8" fillId="27" borderId="50" xfId="309" applyNumberFormat="1" applyFont="1" applyBorder="1" applyProtection="1">
      <protection locked="0"/>
    </xf>
    <xf numFmtId="7" fontId="35" fillId="27" borderId="86" xfId="309" applyNumberFormat="1" applyFont="1" applyBorder="1">
      <protection locked="0"/>
    </xf>
    <xf numFmtId="5" fontId="35" fillId="27" borderId="97" xfId="309" applyNumberFormat="1" applyFont="1" applyBorder="1">
      <protection locked="0"/>
    </xf>
    <xf numFmtId="5" fontId="35" fillId="27" borderId="107" xfId="309" applyNumberFormat="1" applyFont="1" applyBorder="1">
      <protection locked="0"/>
    </xf>
    <xf numFmtId="5" fontId="35" fillId="27" borderId="67" xfId="309" applyNumberFormat="1" applyFont="1" applyBorder="1">
      <protection locked="0"/>
    </xf>
    <xf numFmtId="5" fontId="35" fillId="27" borderId="108" xfId="309" applyNumberFormat="1" applyFont="1" applyBorder="1">
      <protection locked="0"/>
    </xf>
    <xf numFmtId="5" fontId="35" fillId="27" borderId="109" xfId="309" applyNumberFormat="1" applyFont="1" applyBorder="1">
      <protection locked="0"/>
    </xf>
    <xf numFmtId="7" fontId="35" fillId="27" borderId="110" xfId="309" applyNumberFormat="1" applyFont="1" applyBorder="1">
      <protection locked="0"/>
    </xf>
    <xf numFmtId="7" fontId="35" fillId="27" borderId="105" xfId="309" applyNumberFormat="1" applyFont="1" applyBorder="1">
      <protection locked="0"/>
    </xf>
    <xf numFmtId="5" fontId="35" fillId="27" borderId="66" xfId="309" applyNumberFormat="1" applyFont="1" applyBorder="1">
      <protection locked="0"/>
    </xf>
    <xf numFmtId="5" fontId="35" fillId="27" borderId="27" xfId="309" applyNumberFormat="1" applyFont="1" applyBorder="1">
      <protection locked="0"/>
    </xf>
    <xf numFmtId="7" fontId="35" fillId="27" borderId="98" xfId="309" applyNumberFormat="1" applyFont="1" applyBorder="1">
      <protection locked="0"/>
    </xf>
    <xf numFmtId="5" fontId="35" fillId="27" borderId="111" xfId="309" applyNumberFormat="1" applyFont="1" applyBorder="1">
      <protection locked="0"/>
    </xf>
    <xf numFmtId="5" fontId="17" fillId="0" borderId="44" xfId="252" applyNumberFormat="1" applyFont="1" applyFill="1" applyBorder="1" applyProtection="1">
      <protection hidden="1"/>
    </xf>
    <xf numFmtId="5" fontId="17" fillId="0" borderId="47" xfId="252" applyNumberFormat="1" applyFont="1" applyFill="1" applyBorder="1" applyProtection="1">
      <protection hidden="1"/>
    </xf>
    <xf numFmtId="0" fontId="17" fillId="0" borderId="32" xfId="0" applyFont="1" applyBorder="1" applyAlignment="1" applyProtection="1">
      <alignment horizontal="right"/>
      <protection hidden="1"/>
    </xf>
    <xf numFmtId="0" fontId="17" fillId="0" borderId="34" xfId="0" applyFont="1" applyBorder="1" applyAlignment="1" applyProtection="1">
      <alignment horizontal="right"/>
      <protection hidden="1"/>
    </xf>
    <xf numFmtId="0" fontId="17" fillId="0" borderId="25" xfId="0" applyFont="1" applyBorder="1" applyAlignment="1">
      <alignment wrapText="1"/>
      <protection hidden="1"/>
    </xf>
    <xf numFmtId="0" fontId="17" fillId="0" borderId="22" xfId="0" applyFont="1" applyBorder="1" applyAlignment="1">
      <alignment wrapText="1"/>
      <protection hidden="1"/>
    </xf>
    <xf numFmtId="5" fontId="35" fillId="27" borderId="112" xfId="309" applyNumberFormat="1" applyFont="1" applyBorder="1">
      <protection locked="0"/>
    </xf>
    <xf numFmtId="7" fontId="35" fillId="27" borderId="95" xfId="309" applyNumberFormat="1" applyFont="1" applyBorder="1">
      <protection locked="0"/>
    </xf>
    <xf numFmtId="5" fontId="35" fillId="27" borderId="113" xfId="309" applyNumberFormat="1" applyFont="1" applyBorder="1">
      <protection locked="0"/>
    </xf>
    <xf numFmtId="7" fontId="35" fillId="27" borderId="114" xfId="309" applyNumberFormat="1" applyFont="1" applyBorder="1">
      <protection locked="0"/>
    </xf>
    <xf numFmtId="7" fontId="35" fillId="27" borderId="19" xfId="309" applyNumberFormat="1" applyFont="1" applyBorder="1">
      <protection locked="0"/>
    </xf>
    <xf numFmtId="5" fontId="17" fillId="0" borderId="16" xfId="252" applyNumberFormat="1" applyFont="1" applyFill="1" applyBorder="1" applyProtection="1">
      <protection hidden="1"/>
    </xf>
    <xf numFmtId="5" fontId="17" fillId="0" borderId="14" xfId="252" applyNumberFormat="1" applyFont="1" applyFill="1" applyBorder="1" applyProtection="1">
      <protection hidden="1"/>
    </xf>
    <xf numFmtId="0" fontId="17" fillId="0" borderId="25" xfId="0" applyFont="1" applyBorder="1" applyAlignment="1" applyProtection="1">
      <alignment horizontal="right"/>
      <protection hidden="1"/>
    </xf>
    <xf numFmtId="0" fontId="17" fillId="0" borderId="22" xfId="0" applyFont="1" applyBorder="1" applyAlignment="1" applyProtection="1">
      <alignment horizontal="right"/>
      <protection hidden="1"/>
    </xf>
    <xf numFmtId="0" fontId="17" fillId="0" borderId="78" xfId="0" applyFont="1" applyBorder="1" applyAlignment="1" applyProtection="1">
      <alignment horizontal="right"/>
      <protection hidden="1"/>
    </xf>
    <xf numFmtId="0" fontId="17" fillId="0" borderId="104" xfId="0" applyFont="1" applyBorder="1" applyAlignment="1" applyProtection="1">
      <alignment horizontal="right"/>
      <protection hidden="1"/>
    </xf>
    <xf numFmtId="10" fontId="35" fillId="27" borderId="98" xfId="309" applyNumberFormat="1" applyFont="1" applyBorder="1">
      <protection locked="0"/>
    </xf>
    <xf numFmtId="10" fontId="35" fillId="27" borderId="88" xfId="309" applyNumberFormat="1" applyFont="1" applyBorder="1">
      <protection locked="0"/>
    </xf>
    <xf numFmtId="10" fontId="35" fillId="27" borderId="102" xfId="309" applyNumberFormat="1" applyFont="1" applyBorder="1">
      <protection locked="0"/>
    </xf>
    <xf numFmtId="10" fontId="35" fillId="27" borderId="6" xfId="309" applyNumberFormat="1" applyFont="1" applyBorder="1">
      <protection locked="0"/>
    </xf>
    <xf numFmtId="10" fontId="35" fillId="27" borderId="34" xfId="309" applyNumberFormat="1" applyFont="1" applyBorder="1">
      <protection locked="0"/>
    </xf>
    <xf numFmtId="5" fontId="35" fillId="27" borderId="22" xfId="309" applyNumberFormat="1" applyFont="1" applyBorder="1">
      <protection locked="0"/>
    </xf>
    <xf numFmtId="0" fontId="0" fillId="0" borderId="23" xfId="0" applyBorder="1">
      <protection hidden="1"/>
    </xf>
    <xf numFmtId="0" fontId="0" fillId="0" borderId="76" xfId="0" applyBorder="1">
      <protection hidden="1"/>
    </xf>
    <xf numFmtId="0" fontId="0" fillId="0" borderId="106" xfId="0" applyBorder="1">
      <protection hidden="1"/>
    </xf>
    <xf numFmtId="5" fontId="17" fillId="27" borderId="111" xfId="309" applyNumberFormat="1" applyFont="1" applyBorder="1" applyAlignment="1" applyProtection="1">
      <alignment horizontal="center"/>
      <protection locked="0"/>
    </xf>
    <xf numFmtId="7" fontId="17" fillId="27" borderId="98" xfId="309" applyNumberFormat="1" applyFont="1" applyBorder="1" applyAlignment="1" applyProtection="1">
      <alignment horizontal="center"/>
      <protection locked="0"/>
    </xf>
    <xf numFmtId="5" fontId="8" fillId="27" borderId="5" xfId="309" applyNumberFormat="1" applyFont="1" applyBorder="1" applyProtection="1">
      <protection locked="0"/>
    </xf>
    <xf numFmtId="0" fontId="1" fillId="27" borderId="19" xfId="309" applyNumberFormat="1" applyFont="1" applyBorder="1" applyAlignment="1" applyProtection="1">
      <alignment vertical="top" wrapText="1"/>
      <protection locked="0"/>
    </xf>
    <xf numFmtId="7" fontId="17" fillId="27" borderId="105" xfId="309" applyNumberFormat="1" applyFont="1" applyBorder="1" applyProtection="1">
      <protection locked="0"/>
    </xf>
    <xf numFmtId="7" fontId="17" fillId="27" borderId="95" xfId="309" applyNumberFormat="1" applyFont="1" applyBorder="1" applyAlignment="1" applyProtection="1">
      <alignment vertical="top" wrapText="1"/>
      <protection locked="0"/>
    </xf>
    <xf numFmtId="167" fontId="8" fillId="27" borderId="5" xfId="309" applyNumberFormat="1" applyFont="1" applyBorder="1" applyAlignment="1" applyProtection="1">
      <alignment horizontal="right"/>
      <protection locked="0"/>
    </xf>
    <xf numFmtId="167" fontId="8" fillId="27" borderId="71" xfId="309" applyNumberFormat="1" applyFont="1" applyBorder="1" applyProtection="1">
      <protection locked="0"/>
    </xf>
    <xf numFmtId="172" fontId="8" fillId="27" borderId="5" xfId="309" applyNumberFormat="1" applyFont="1" applyBorder="1" applyProtection="1">
      <protection locked="0"/>
    </xf>
    <xf numFmtId="167" fontId="8" fillId="27" borderId="68" xfId="309" applyNumberFormat="1" applyFont="1" applyBorder="1" applyProtection="1">
      <protection locked="0"/>
    </xf>
    <xf numFmtId="167" fontId="8" fillId="27" borderId="51" xfId="309" applyNumberFormat="1" applyFont="1" applyBorder="1" applyProtection="1">
      <protection locked="0"/>
    </xf>
    <xf numFmtId="167" fontId="8" fillId="27" borderId="56" xfId="309" applyNumberFormat="1" applyFont="1" applyBorder="1" applyProtection="1">
      <protection locked="0"/>
    </xf>
    <xf numFmtId="167" fontId="8" fillId="27" borderId="19" xfId="309" applyNumberFormat="1" applyFont="1" applyBorder="1" applyProtection="1">
      <protection locked="0"/>
    </xf>
    <xf numFmtId="167" fontId="8" fillId="27" borderId="27" xfId="309" applyNumberFormat="1" applyFont="1" applyBorder="1" applyProtection="1">
      <protection locked="0"/>
    </xf>
    <xf numFmtId="167" fontId="8" fillId="27" borderId="6" xfId="309" applyNumberFormat="1" applyFont="1" applyBorder="1" applyProtection="1">
      <protection locked="0"/>
    </xf>
    <xf numFmtId="167" fontId="8" fillId="27" borderId="41" xfId="309" applyNumberFormat="1" applyFont="1" applyBorder="1" applyProtection="1">
      <protection locked="0"/>
    </xf>
    <xf numFmtId="9" fontId="8" fillId="27" borderId="51" xfId="309" applyNumberFormat="1" applyFont="1" applyBorder="1" applyProtection="1">
      <protection locked="0"/>
    </xf>
    <xf numFmtId="9" fontId="8" fillId="27" borderId="6" xfId="309" applyNumberFormat="1" applyFont="1" applyBorder="1" applyProtection="1">
      <protection locked="0"/>
    </xf>
    <xf numFmtId="9" fontId="8" fillId="27" borderId="39" xfId="309" applyNumberFormat="1" applyFont="1" applyBorder="1" applyProtection="1">
      <protection locked="0"/>
    </xf>
    <xf numFmtId="167" fontId="8" fillId="27" borderId="28" xfId="309" applyNumberFormat="1" applyFont="1" applyBorder="1" applyProtection="1">
      <protection locked="0"/>
    </xf>
    <xf numFmtId="167" fontId="8" fillId="27" borderId="72" xfId="309" applyNumberFormat="1" applyFont="1" applyBorder="1" applyProtection="1">
      <protection locked="0"/>
    </xf>
    <xf numFmtId="167" fontId="8" fillId="27" borderId="76" xfId="309" applyNumberFormat="1" applyFont="1" applyBorder="1" applyProtection="1">
      <protection locked="0"/>
    </xf>
    <xf numFmtId="167" fontId="8" fillId="27" borderId="23" xfId="309" applyNumberFormat="1" applyFont="1" applyBorder="1" applyProtection="1">
      <protection locked="0"/>
    </xf>
    <xf numFmtId="167" fontId="8" fillId="27" borderId="3" xfId="309" applyNumberFormat="1" applyFont="1" applyBorder="1" applyProtection="1">
      <protection locked="0"/>
    </xf>
    <xf numFmtId="167" fontId="8" fillId="27" borderId="22" xfId="309" applyNumberFormat="1" applyFont="1" applyBorder="1" applyProtection="1">
      <protection locked="0"/>
    </xf>
    <xf numFmtId="0" fontId="19" fillId="0" borderId="32" xfId="0" applyFont="1" applyBorder="1" applyAlignment="1" applyProtection="1">
      <alignment horizontal="right" vertical="top"/>
      <protection hidden="1"/>
    </xf>
    <xf numFmtId="0" fontId="22" fillId="29" borderId="29" xfId="114" applyFont="1" applyBorder="1" applyAlignment="1" applyProtection="1">
      <protection hidden="1"/>
    </xf>
    <xf numFmtId="5" fontId="17" fillId="27" borderId="115" xfId="309" applyNumberFormat="1" applyFont="1" applyBorder="1">
      <protection locked="0"/>
    </xf>
    <xf numFmtId="5" fontId="17" fillId="27" borderId="116" xfId="309" applyNumberFormat="1" applyFont="1" applyBorder="1">
      <protection locked="0"/>
    </xf>
    <xf numFmtId="5" fontId="17" fillId="27" borderId="100" xfId="309" applyNumberFormat="1" applyFont="1" applyBorder="1">
      <protection locked="0"/>
    </xf>
    <xf numFmtId="0" fontId="17" fillId="29" borderId="29" xfId="114" applyFont="1" applyBorder="1" applyAlignment="1" applyProtection="1">
      <protection hidden="1"/>
    </xf>
    <xf numFmtId="5" fontId="17" fillId="27" borderId="117" xfId="309" applyNumberFormat="1" applyFont="1" applyBorder="1">
      <protection locked="0"/>
    </xf>
    <xf numFmtId="5" fontId="17" fillId="27" borderId="118" xfId="309" applyNumberFormat="1" applyFont="1" applyBorder="1">
      <protection locked="0"/>
    </xf>
    <xf numFmtId="0" fontId="17" fillId="0" borderId="119" xfId="0" applyFont="1" applyBorder="1">
      <protection hidden="1"/>
    </xf>
    <xf numFmtId="0" fontId="17" fillId="0" borderId="23" xfId="0" applyFont="1" applyBorder="1">
      <protection hidden="1"/>
    </xf>
    <xf numFmtId="5" fontId="17" fillId="27" borderId="120" xfId="309" applyNumberFormat="1" applyFont="1" applyBorder="1">
      <protection locked="0"/>
    </xf>
    <xf numFmtId="5" fontId="17" fillId="27" borderId="13" xfId="309" applyNumberFormat="1" applyFont="1" applyBorder="1">
      <protection locked="0"/>
    </xf>
    <xf numFmtId="5" fontId="17" fillId="27" borderId="23" xfId="309" applyNumberFormat="1" applyFont="1" applyBorder="1">
      <protection locked="0"/>
    </xf>
    <xf numFmtId="5" fontId="17" fillId="27" borderId="121" xfId="309" applyNumberFormat="1" applyFont="1" applyBorder="1" applyAlignment="1" applyProtection="1">
      <alignment horizontal="center"/>
      <protection locked="0"/>
    </xf>
    <xf numFmtId="5" fontId="17" fillId="27" borderId="122" xfId="309" applyNumberFormat="1" applyFont="1" applyBorder="1" applyAlignment="1">
      <alignment horizontal="center"/>
      <protection locked="0"/>
    </xf>
    <xf numFmtId="5" fontId="35" fillId="27" borderId="122" xfId="309" applyNumberFormat="1" applyFont="1" applyBorder="1">
      <protection locked="0"/>
    </xf>
    <xf numFmtId="5" fontId="35" fillId="27" borderId="106" xfId="309" applyNumberFormat="1" applyFont="1" applyBorder="1">
      <protection locked="0"/>
    </xf>
    <xf numFmtId="5" fontId="17" fillId="0" borderId="26" xfId="252" applyNumberFormat="1" applyFont="1" applyFill="1" applyBorder="1" applyProtection="1">
      <protection hidden="1"/>
    </xf>
    <xf numFmtId="0" fontId="17" fillId="0" borderId="0" xfId="0" applyFont="1" applyBorder="1" applyAlignment="1" applyProtection="1">
      <alignment horizontal="right"/>
      <protection hidden="1"/>
    </xf>
    <xf numFmtId="0" fontId="17" fillId="0" borderId="12" xfId="0" applyFont="1" applyBorder="1" applyAlignment="1">
      <alignment wrapText="1"/>
      <protection hidden="1"/>
    </xf>
    <xf numFmtId="5" fontId="17" fillId="27" borderId="123" xfId="309" applyNumberFormat="1" applyFont="1" applyBorder="1" applyAlignment="1">
      <alignment vertical="top" wrapText="1"/>
      <protection locked="0"/>
    </xf>
    <xf numFmtId="5" fontId="17" fillId="27" borderId="106" xfId="309" applyNumberFormat="1" applyFont="1" applyBorder="1" applyAlignment="1">
      <alignment horizontal="center"/>
      <protection locked="0"/>
    </xf>
    <xf numFmtId="5" fontId="17" fillId="27" borderId="124" xfId="309" applyNumberFormat="1" applyFont="1" applyBorder="1">
      <protection locked="0"/>
    </xf>
    <xf numFmtId="5" fontId="17" fillId="27" borderId="121" xfId="309" applyNumberFormat="1" applyFont="1" applyBorder="1" applyAlignment="1">
      <alignment horizontal="center"/>
      <protection locked="0"/>
    </xf>
    <xf numFmtId="5" fontId="17" fillId="0" borderId="13" xfId="252" applyNumberFormat="1" applyFont="1" applyFill="1" applyBorder="1" applyProtection="1">
      <protection hidden="1"/>
    </xf>
    <xf numFmtId="0" fontId="17" fillId="0" borderId="12" xfId="0" applyFont="1" applyBorder="1" applyAlignment="1" applyProtection="1">
      <alignment horizontal="right"/>
      <protection hidden="1"/>
    </xf>
    <xf numFmtId="0" fontId="17" fillId="0" borderId="101" xfId="0" applyFont="1" applyBorder="1" applyAlignment="1" applyProtection="1">
      <alignment horizontal="right"/>
      <protection hidden="1"/>
    </xf>
    <xf numFmtId="0" fontId="17" fillId="0" borderId="125" xfId="0" applyFont="1" applyBorder="1">
      <protection hidden="1"/>
    </xf>
    <xf numFmtId="0" fontId="17" fillId="0" borderId="106" xfId="0" applyFont="1" applyBorder="1">
      <protection hidden="1"/>
    </xf>
    <xf numFmtId="0" fontId="13" fillId="25" borderId="57" xfId="0" applyFont="1" applyFill="1" applyBorder="1" applyProtection="1">
      <protection hidden="1"/>
    </xf>
    <xf numFmtId="0" fontId="14" fillId="36" borderId="18" xfId="114" applyFont="1" applyFill="1" applyBorder="1" applyAlignment="1" applyProtection="1">
      <protection hidden="1"/>
    </xf>
    <xf numFmtId="0" fontId="11" fillId="0" borderId="20" xfId="0" applyFont="1" applyFill="1" applyBorder="1" applyAlignment="1" applyProtection="1">
      <protection hidden="1"/>
    </xf>
    <xf numFmtId="0" fontId="1" fillId="0" borderId="79" xfId="121" applyFont="1" applyFill="1" applyBorder="1" applyProtection="1">
      <protection hidden="1"/>
    </xf>
    <xf numFmtId="0" fontId="11" fillId="0" borderId="79" xfId="0" applyFont="1" applyFill="1" applyBorder="1" applyProtection="1">
      <protection hidden="1"/>
    </xf>
    <xf numFmtId="0" fontId="11" fillId="0" borderId="79" xfId="0" applyFont="1" applyBorder="1" applyProtection="1">
      <protection hidden="1"/>
    </xf>
    <xf numFmtId="0" fontId="11" fillId="0" borderId="103" xfId="0" applyFont="1" applyFill="1" applyBorder="1" applyAlignment="1" applyProtection="1">
      <protection hidden="1"/>
    </xf>
    <xf numFmtId="0" fontId="11" fillId="0" borderId="43" xfId="0" applyFont="1" applyFill="1" applyBorder="1" applyProtection="1">
      <protection hidden="1"/>
    </xf>
    <xf numFmtId="0" fontId="1" fillId="0" borderId="20" xfId="121" applyFont="1" applyFill="1" applyBorder="1" applyAlignment="1" applyProtection="1">
      <protection hidden="1"/>
    </xf>
    <xf numFmtId="0" fontId="1" fillId="0" borderId="79" xfId="121" applyFont="1" applyBorder="1" applyProtection="1">
      <protection hidden="1"/>
    </xf>
    <xf numFmtId="0" fontId="11" fillId="0" borderId="20" xfId="0" applyFont="1" applyBorder="1" applyProtection="1">
      <protection hidden="1"/>
    </xf>
    <xf numFmtId="0" fontId="11" fillId="0" borderId="43" xfId="0" applyFont="1" applyFill="1" applyBorder="1" applyAlignment="1" applyProtection="1">
      <protection hidden="1"/>
    </xf>
    <xf numFmtId="0" fontId="1" fillId="0" borderId="126" xfId="121" applyFont="1" applyBorder="1" applyProtection="1">
      <protection hidden="1"/>
    </xf>
    <xf numFmtId="0" fontId="11" fillId="0" borderId="127" xfId="0" applyFont="1" applyFill="1" applyBorder="1" applyAlignment="1" applyProtection="1">
      <protection hidden="1"/>
    </xf>
    <xf numFmtId="0" fontId="11" fillId="0" borderId="126" xfId="0" applyFont="1" applyBorder="1" applyProtection="1">
      <protection hidden="1"/>
    </xf>
    <xf numFmtId="0" fontId="11" fillId="0" borderId="20" xfId="0" applyFont="1" applyBorder="1">
      <protection hidden="1"/>
    </xf>
    <xf numFmtId="0" fontId="11" fillId="0" borderId="79" xfId="0" applyFont="1" applyBorder="1">
      <protection hidden="1"/>
    </xf>
    <xf numFmtId="0" fontId="6" fillId="0" borderId="57" xfId="0" applyFont="1" applyBorder="1" applyProtection="1">
      <protection hidden="1"/>
    </xf>
    <xf numFmtId="0" fontId="12" fillId="0" borderId="43" xfId="0" applyFont="1" applyBorder="1" applyProtection="1">
      <protection hidden="1"/>
    </xf>
    <xf numFmtId="0" fontId="19" fillId="0" borderId="79" xfId="0" applyFont="1" applyBorder="1" applyAlignment="1" applyProtection="1">
      <alignment horizontal="right" vertical="top"/>
      <protection hidden="1"/>
    </xf>
    <xf numFmtId="0" fontId="17" fillId="0" borderId="20" xfId="0" applyFont="1" applyBorder="1" applyProtection="1">
      <protection hidden="1"/>
    </xf>
    <xf numFmtId="0" fontId="1" fillId="0" borderId="79" xfId="121" applyFont="1" applyFill="1" applyBorder="1" applyAlignment="1" applyProtection="1">
      <alignment wrapText="1"/>
      <protection hidden="1"/>
    </xf>
    <xf numFmtId="0" fontId="17" fillId="0" borderId="20" xfId="0" applyFont="1" applyBorder="1">
      <protection hidden="1"/>
    </xf>
    <xf numFmtId="0" fontId="17" fillId="0" borderId="79" xfId="0" applyFont="1" applyBorder="1">
      <protection hidden="1"/>
    </xf>
    <xf numFmtId="0" fontId="17" fillId="0" borderId="79" xfId="0" applyFont="1" applyBorder="1" applyProtection="1">
      <protection hidden="1"/>
    </xf>
    <xf numFmtId="0" fontId="11" fillId="0" borderId="79" xfId="0" applyFont="1" applyFill="1" applyBorder="1">
      <protection hidden="1"/>
    </xf>
    <xf numFmtId="0" fontId="0" fillId="0" borderId="79" xfId="0" applyBorder="1">
      <protection hidden="1"/>
    </xf>
    <xf numFmtId="0" fontId="0" fillId="0" borderId="103" xfId="0" applyBorder="1">
      <protection hidden="1"/>
    </xf>
    <xf numFmtId="0" fontId="11" fillId="0" borderId="128" xfId="0" applyFont="1" applyBorder="1" applyProtection="1">
      <protection hidden="1"/>
    </xf>
    <xf numFmtId="5" fontId="17" fillId="27" borderId="63" xfId="309" applyNumberFormat="1" applyFont="1" applyBorder="1">
      <protection locked="0"/>
    </xf>
    <xf numFmtId="5" fontId="8" fillId="27" borderId="129" xfId="309" applyNumberFormat="1" applyFont="1" applyBorder="1">
      <protection locked="0"/>
    </xf>
    <xf numFmtId="5" fontId="8" fillId="27" borderId="130" xfId="309" applyNumberFormat="1" applyFont="1" applyBorder="1">
      <protection locked="0"/>
    </xf>
    <xf numFmtId="7" fontId="1" fillId="27" borderId="15" xfId="309" applyNumberFormat="1" applyFont="1" applyBorder="1" applyProtection="1">
      <protection locked="0"/>
    </xf>
    <xf numFmtId="7" fontId="8" fillId="27" borderId="19" xfId="309" applyNumberFormat="1" applyFont="1" applyBorder="1">
      <protection locked="0"/>
    </xf>
    <xf numFmtId="0" fontId="31" fillId="0" borderId="50" xfId="0" applyFont="1" applyBorder="1" applyAlignment="1">
      <alignment horizontal="right"/>
      <protection hidden="1"/>
    </xf>
    <xf numFmtId="0" fontId="31" fillId="0" borderId="96" xfId="0" applyFont="1" applyBorder="1" applyAlignment="1">
      <alignment horizontal="right"/>
      <protection hidden="1"/>
    </xf>
    <xf numFmtId="166" fontId="11" fillId="0" borderId="16" xfId="0" applyNumberFormat="1" applyFont="1" applyFill="1" applyBorder="1" applyAlignment="1" applyProtection="1">
      <alignment wrapText="1"/>
      <protection hidden="1"/>
    </xf>
    <xf numFmtId="0" fontId="25" fillId="0" borderId="34" xfId="252" applyFont="1" applyFill="1" applyBorder="1" applyAlignment="1">
      <alignment vertical="top" wrapText="1"/>
    </xf>
    <xf numFmtId="0" fontId="31" fillId="0" borderId="0" xfId="0" applyFont="1" applyBorder="1">
      <protection hidden="1"/>
    </xf>
    <xf numFmtId="0" fontId="31" fillId="0" borderId="34" xfId="0" applyFont="1" applyBorder="1">
      <protection hidden="1"/>
    </xf>
    <xf numFmtId="0" fontId="20" fillId="0" borderId="39" xfId="0" applyFont="1" applyBorder="1" applyAlignment="1">
      <alignment horizontal="center" wrapText="1"/>
      <protection hidden="1"/>
    </xf>
    <xf numFmtId="0" fontId="6" fillId="0" borderId="0" xfId="0" applyFont="1" applyFill="1" applyBorder="1" applyProtection="1">
      <protection hidden="1"/>
    </xf>
    <xf numFmtId="0" fontId="31" fillId="0" borderId="0" xfId="0" applyFont="1" applyBorder="1" applyProtection="1">
      <protection hidden="1"/>
    </xf>
    <xf numFmtId="0" fontId="0" fillId="0" borderId="72" xfId="0" applyBorder="1" applyProtection="1">
      <protection hidden="1"/>
    </xf>
    <xf numFmtId="7" fontId="1" fillId="27" borderId="50" xfId="309" applyNumberFormat="1" applyFont="1" applyBorder="1" applyProtection="1">
      <protection locked="0"/>
    </xf>
    <xf numFmtId="0" fontId="1" fillId="0" borderId="128" xfId="121" applyFont="1" applyFill="1" applyBorder="1" applyAlignment="1" applyProtection="1">
      <protection hidden="1"/>
    </xf>
    <xf numFmtId="0" fontId="11" fillId="0" borderId="103" xfId="0" applyFont="1" applyBorder="1" applyProtection="1">
      <protection hidden="1"/>
    </xf>
    <xf numFmtId="0" fontId="5" fillId="29" borderId="38" xfId="114" applyBorder="1" applyAlignment="1" applyProtection="1">
      <protection hidden="1"/>
    </xf>
    <xf numFmtId="49" fontId="11" fillId="0" borderId="63" xfId="0" applyNumberFormat="1" applyFont="1" applyBorder="1" applyProtection="1">
      <protection hidden="1"/>
    </xf>
    <xf numFmtId="0" fontId="0" fillId="0" borderId="56" xfId="0" applyBorder="1" applyProtection="1">
      <protection hidden="1"/>
    </xf>
    <xf numFmtId="49" fontId="0" fillId="0" borderId="27" xfId="0" applyNumberFormat="1" applyBorder="1" applyProtection="1">
      <protection hidden="1"/>
    </xf>
    <xf numFmtId="49" fontId="11" fillId="0" borderId="79" xfId="0" applyNumberFormat="1" applyFont="1" applyFill="1" applyBorder="1" applyProtection="1">
      <protection hidden="1"/>
    </xf>
    <xf numFmtId="0" fontId="9" fillId="27" borderId="3" xfId="309" applyNumberFormat="1" applyBorder="1" applyAlignment="1">
      <alignment horizontal="center" vertical="center"/>
      <protection locked="0"/>
    </xf>
    <xf numFmtId="0" fontId="17" fillId="0" borderId="6" xfId="0" applyFont="1" applyBorder="1" applyAlignment="1">
      <alignment horizontal="left" wrapText="1"/>
      <protection hidden="1"/>
    </xf>
    <xf numFmtId="5" fontId="17" fillId="27" borderId="131" xfId="309" applyNumberFormat="1" applyFont="1" applyBorder="1">
      <protection locked="0"/>
    </xf>
    <xf numFmtId="0" fontId="1" fillId="0" borderId="20" xfId="121" applyFont="1" applyFill="1" applyBorder="1" applyAlignment="1" applyProtection="1">
      <alignment wrapText="1"/>
      <protection hidden="1"/>
    </xf>
    <xf numFmtId="0" fontId="9" fillId="27" borderId="15" xfId="309" applyNumberFormat="1" applyFont="1" applyBorder="1" applyAlignment="1" applyProtection="1">
      <alignment vertical="top"/>
      <protection locked="0"/>
    </xf>
    <xf numFmtId="0" fontId="9" fillId="27" borderId="5" xfId="309" applyNumberFormat="1" applyFont="1" applyBorder="1" applyAlignment="1" applyProtection="1">
      <alignment vertical="top"/>
      <protection locked="0"/>
    </xf>
    <xf numFmtId="0" fontId="9" fillId="27" borderId="5" xfId="309" applyNumberFormat="1" applyBorder="1" applyAlignment="1" applyProtection="1">
      <alignment vertical="top"/>
      <protection locked="0"/>
    </xf>
    <xf numFmtId="0" fontId="1" fillId="27" borderId="6" xfId="309" applyNumberFormat="1" applyFont="1" applyBorder="1" applyAlignment="1" applyProtection="1">
      <alignment vertical="top" wrapText="1"/>
      <protection locked="0"/>
    </xf>
    <xf numFmtId="5" fontId="8" fillId="27" borderId="80" xfId="309" applyNumberFormat="1" applyFont="1" applyBorder="1" applyProtection="1">
      <protection locked="0"/>
    </xf>
    <xf numFmtId="5" fontId="8" fillId="27" borderId="85" xfId="309" applyNumberFormat="1" applyFont="1" applyBorder="1" applyProtection="1">
      <protection locked="0"/>
    </xf>
    <xf numFmtId="5" fontId="8" fillId="27" borderId="82" xfId="309" applyNumberFormat="1" applyFont="1" applyBorder="1" applyProtection="1">
      <protection locked="0"/>
    </xf>
    <xf numFmtId="5" fontId="8" fillId="27" borderId="84" xfId="309" applyNumberFormat="1" applyFont="1" applyBorder="1" applyProtection="1">
      <protection locked="0"/>
    </xf>
    <xf numFmtId="5" fontId="8" fillId="27" borderId="83" xfId="309" applyNumberFormat="1" applyFont="1" applyBorder="1" applyProtection="1">
      <protection locked="0"/>
    </xf>
    <xf numFmtId="0" fontId="0" fillId="0" borderId="39" xfId="0" applyBorder="1" applyProtection="1">
      <protection locked="0" hidden="1"/>
    </xf>
    <xf numFmtId="0" fontId="0" fillId="0" borderId="6" xfId="0" applyBorder="1" applyProtection="1">
      <protection locked="0" hidden="1"/>
    </xf>
    <xf numFmtId="0" fontId="1" fillId="0" borderId="43" xfId="121" applyFont="1" applyBorder="1" applyAlignment="1" applyProtection="1">
      <alignment horizontal="left"/>
      <protection hidden="1"/>
    </xf>
    <xf numFmtId="0" fontId="11" fillId="0" borderId="63" xfId="0" applyFont="1" applyFill="1" applyBorder="1" applyAlignment="1" applyProtection="1">
      <alignment horizontal="left"/>
      <protection hidden="1"/>
    </xf>
    <xf numFmtId="0" fontId="0" fillId="0" borderId="27" xfId="0" applyBorder="1" applyAlignment="1" applyProtection="1">
      <alignment horizontal="left"/>
      <protection hidden="1"/>
    </xf>
    <xf numFmtId="0" fontId="11" fillId="0" borderId="67" xfId="0" applyFont="1" applyBorder="1" applyAlignment="1" applyProtection="1">
      <alignment horizontal="left"/>
      <protection hidden="1"/>
    </xf>
    <xf numFmtId="44" fontId="35" fillId="27" borderId="5" xfId="309" applyNumberFormat="1" applyFont="1" applyBorder="1" applyAlignment="1" applyProtection="1">
      <alignment wrapText="1"/>
      <protection locked="0"/>
    </xf>
    <xf numFmtId="44" fontId="35" fillId="27" borderId="7" xfId="309" applyNumberFormat="1" applyFont="1" applyBorder="1" applyAlignment="1" applyProtection="1">
      <alignment wrapText="1"/>
      <protection locked="0"/>
    </xf>
    <xf numFmtId="9" fontId="8" fillId="27" borderId="19" xfId="309" applyNumberFormat="1" applyFont="1" applyBorder="1">
      <protection locked="0"/>
    </xf>
    <xf numFmtId="9" fontId="8" fillId="27" borderId="46" xfId="309" applyNumberFormat="1" applyFont="1" applyBorder="1">
      <protection locked="0"/>
    </xf>
    <xf numFmtId="9" fontId="8" fillId="27" borderId="19" xfId="309" applyNumberFormat="1" applyFont="1" applyBorder="1" applyProtection="1">
      <protection locked="0"/>
    </xf>
    <xf numFmtId="9" fontId="8" fillId="27" borderId="46" xfId="309" applyNumberFormat="1" applyFont="1" applyBorder="1" applyProtection="1">
      <protection locked="0"/>
    </xf>
    <xf numFmtId="9" fontId="8" fillId="27" borderId="96" xfId="309" applyNumberFormat="1" applyFont="1" applyBorder="1">
      <protection locked="0"/>
    </xf>
    <xf numFmtId="9" fontId="8" fillId="27" borderId="5" xfId="309" applyNumberFormat="1" applyFont="1" applyBorder="1" applyProtection="1">
      <protection locked="0"/>
    </xf>
    <xf numFmtId="9" fontId="8" fillId="27" borderId="35" xfId="309" applyNumberFormat="1" applyFont="1" applyBorder="1" applyProtection="1">
      <protection locked="0"/>
    </xf>
    <xf numFmtId="0" fontId="14" fillId="0" borderId="133" xfId="0" applyFont="1" applyBorder="1" applyAlignment="1" applyProtection="1">
      <alignment horizontal="center" vertical="center" wrapText="1"/>
      <protection hidden="1"/>
    </xf>
    <xf numFmtId="0" fontId="14" fillId="0" borderId="8" xfId="0" applyFont="1" applyBorder="1" applyAlignment="1" applyProtection="1">
      <alignment horizontal="center" vertical="center" wrapText="1"/>
      <protection hidden="1"/>
    </xf>
    <xf numFmtId="0" fontId="14" fillId="0" borderId="65" xfId="0" applyFont="1" applyBorder="1" applyAlignment="1" applyProtection="1">
      <alignment horizontal="center" vertical="center" wrapText="1"/>
      <protection hidden="1"/>
    </xf>
    <xf numFmtId="0" fontId="20" fillId="22" borderId="73" xfId="28" applyNumberFormat="1" applyFont="1" applyBorder="1" applyAlignment="1">
      <alignment horizontal="left"/>
      <protection hidden="1"/>
    </xf>
    <xf numFmtId="0" fontId="20" fillId="22" borderId="40" xfId="28" applyNumberFormat="1" applyFont="1" applyBorder="1" applyAlignment="1">
      <alignment horizontal="left"/>
      <protection hidden="1"/>
    </xf>
    <xf numFmtId="171" fontId="20" fillId="22" borderId="21" xfId="28" applyNumberFormat="1" applyFont="1" applyBorder="1" applyAlignment="1">
      <alignment horizontal="left"/>
      <protection hidden="1"/>
    </xf>
    <xf numFmtId="171" fontId="20" fillId="22" borderId="12" xfId="28" applyNumberFormat="1" applyFont="1" applyBorder="1" applyAlignment="1">
      <alignment horizontal="left"/>
      <protection hidden="1"/>
    </xf>
    <xf numFmtId="0" fontId="20" fillId="22" borderId="21" xfId="28" applyNumberFormat="1" applyFont="1" applyBorder="1" applyAlignment="1">
      <alignment horizontal="left"/>
      <protection hidden="1"/>
    </xf>
    <xf numFmtId="0" fontId="20" fillId="22" borderId="12" xfId="28" applyNumberFormat="1" applyFont="1" applyBorder="1" applyAlignment="1">
      <alignment horizontal="left"/>
      <protection hidden="1"/>
    </xf>
    <xf numFmtId="0" fontId="14" fillId="0" borderId="134" xfId="0" applyFont="1" applyBorder="1" applyAlignment="1" applyProtection="1">
      <alignment horizontal="center" vertical="center" wrapText="1"/>
      <protection hidden="1"/>
    </xf>
    <xf numFmtId="0" fontId="14" fillId="0" borderId="44" xfId="0" applyFont="1" applyBorder="1" applyAlignment="1" applyProtection="1">
      <alignment horizontal="center" vertical="center"/>
      <protection hidden="1"/>
    </xf>
    <xf numFmtId="0" fontId="14" fillId="0" borderId="8" xfId="0" applyFont="1" applyBorder="1" applyAlignment="1" applyProtection="1">
      <alignment horizontal="center" vertical="center"/>
      <protection hidden="1"/>
    </xf>
    <xf numFmtId="0" fontId="35" fillId="27" borderId="25" xfId="309" applyNumberFormat="1" applyFont="1" applyBorder="1" applyAlignment="1">
      <alignment wrapText="1"/>
      <protection locked="0"/>
    </xf>
    <xf numFmtId="0" fontId="35" fillId="27" borderId="22" xfId="309" applyNumberFormat="1" applyFont="1" applyBorder="1" applyAlignment="1">
      <alignment wrapText="1"/>
      <protection locked="0"/>
    </xf>
    <xf numFmtId="0" fontId="17" fillId="27" borderId="78" xfId="309" applyNumberFormat="1" applyFont="1" applyBorder="1" applyAlignment="1">
      <alignment horizontal="left" vertical="top" wrapText="1"/>
      <protection locked="0"/>
    </xf>
    <xf numFmtId="0" fontId="17" fillId="27" borderId="104" xfId="309" applyNumberFormat="1" applyFont="1" applyBorder="1" applyAlignment="1">
      <alignment horizontal="left" vertical="top" wrapText="1"/>
      <protection locked="0"/>
    </xf>
    <xf numFmtId="0" fontId="35" fillId="27" borderId="78" xfId="309" applyNumberFormat="1" applyFont="1" applyBorder="1" applyAlignment="1">
      <alignment wrapText="1"/>
      <protection locked="0"/>
    </xf>
    <xf numFmtId="0" fontId="35" fillId="27" borderId="104" xfId="309" applyNumberFormat="1" applyFont="1" applyBorder="1" applyAlignment="1">
      <alignment wrapText="1"/>
      <protection locked="0"/>
    </xf>
    <xf numFmtId="0" fontId="17" fillId="27" borderId="25" xfId="309" applyNumberFormat="1" applyFont="1" applyBorder="1" applyAlignment="1">
      <alignment horizontal="left" vertical="top" wrapText="1"/>
      <protection locked="0"/>
    </xf>
    <xf numFmtId="0" fontId="17" fillId="27" borderId="22" xfId="309" applyNumberFormat="1" applyFont="1" applyBorder="1" applyAlignment="1">
      <alignment horizontal="left" vertical="top" wrapText="1"/>
      <protection locked="0"/>
    </xf>
    <xf numFmtId="0" fontId="17" fillId="27" borderId="12" xfId="309" applyNumberFormat="1" applyFont="1" applyBorder="1" applyAlignment="1">
      <alignment horizontal="left" vertical="top" wrapText="1"/>
      <protection locked="0"/>
    </xf>
    <xf numFmtId="0" fontId="17" fillId="27" borderId="101" xfId="309" applyNumberFormat="1" applyFont="1" applyBorder="1" applyAlignment="1">
      <alignment horizontal="left" vertical="top" wrapText="1"/>
      <protection locked="0"/>
    </xf>
    <xf numFmtId="0" fontId="20" fillId="0" borderId="78" xfId="0" applyFont="1" applyBorder="1" applyAlignment="1">
      <alignment horizontal="center" vertical="center" wrapText="1"/>
      <protection hidden="1"/>
    </xf>
    <xf numFmtId="0" fontId="20" fillId="0" borderId="104" xfId="0" applyFont="1" applyBorder="1" applyAlignment="1">
      <alignment horizontal="center" vertical="center" wrapText="1"/>
      <protection hidden="1"/>
    </xf>
    <xf numFmtId="0" fontId="20" fillId="0" borderId="101" xfId="0" applyFont="1" applyBorder="1" applyAlignment="1">
      <alignment horizontal="center" vertical="center" wrapText="1"/>
      <protection hidden="1"/>
    </xf>
    <xf numFmtId="0" fontId="35" fillId="27" borderId="12" xfId="309" applyNumberFormat="1" applyFont="1" applyBorder="1" applyAlignment="1">
      <alignment wrapText="1"/>
      <protection locked="0"/>
    </xf>
    <xf numFmtId="0" fontId="35" fillId="27" borderId="101" xfId="309" applyNumberFormat="1" applyFont="1" applyBorder="1" applyAlignment="1">
      <alignment wrapText="1"/>
      <protection locked="0"/>
    </xf>
    <xf numFmtId="0" fontId="14" fillId="0" borderId="57" xfId="0" applyFont="1" applyBorder="1" applyAlignment="1" applyProtection="1">
      <alignment horizontal="center" vertical="center" wrapText="1"/>
      <protection hidden="1"/>
    </xf>
    <xf numFmtId="0" fontId="14" fillId="0" borderId="9" xfId="0" applyFont="1" applyBorder="1" applyAlignment="1" applyProtection="1">
      <alignment horizontal="center" vertical="center" wrapText="1"/>
      <protection hidden="1"/>
    </xf>
    <xf numFmtId="0" fontId="14" fillId="0" borderId="42" xfId="0" applyFont="1" applyFill="1" applyBorder="1" applyAlignment="1" applyProtection="1">
      <alignment horizontal="center"/>
      <protection hidden="1"/>
    </xf>
    <xf numFmtId="0" fontId="14" fillId="0" borderId="77" xfId="0" applyFont="1" applyFill="1" applyBorder="1" applyAlignment="1" applyProtection="1">
      <alignment horizontal="center"/>
      <protection hidden="1"/>
    </xf>
    <xf numFmtId="0" fontId="14" fillId="0" borderId="40" xfId="0" applyFont="1" applyFill="1" applyBorder="1" applyAlignment="1" applyProtection="1">
      <alignment horizontal="center"/>
      <protection hidden="1"/>
    </xf>
    <xf numFmtId="0" fontId="14" fillId="0" borderId="44" xfId="0" applyFont="1" applyBorder="1" applyAlignment="1" applyProtection="1">
      <alignment horizontal="center" vertical="center" wrapText="1"/>
      <protection hidden="1"/>
    </xf>
    <xf numFmtId="0" fontId="14" fillId="0" borderId="74" xfId="0" applyFont="1" applyBorder="1" applyAlignment="1" applyProtection="1">
      <alignment horizontal="center" vertical="center" wrapText="1"/>
      <protection hidden="1"/>
    </xf>
    <xf numFmtId="0" fontId="14" fillId="0" borderId="132" xfId="0" applyFont="1" applyBorder="1" applyAlignment="1" applyProtection="1">
      <alignment horizontal="center" vertical="center" wrapText="1"/>
      <protection hidden="1"/>
    </xf>
    <xf numFmtId="0" fontId="35" fillId="27" borderId="41" xfId="309" applyNumberFormat="1" applyFont="1" applyBorder="1" applyAlignment="1">
      <alignment wrapText="1"/>
      <protection locked="0"/>
    </xf>
    <xf numFmtId="0" fontId="35" fillId="27" borderId="39" xfId="309" applyNumberFormat="1" applyFont="1" applyBorder="1" applyAlignment="1">
      <alignment wrapText="1"/>
      <protection locked="0"/>
    </xf>
    <xf numFmtId="0" fontId="35" fillId="27" borderId="27" xfId="309" applyNumberFormat="1" applyFont="1" applyBorder="1" applyAlignment="1">
      <alignment wrapText="1"/>
      <protection locked="0"/>
    </xf>
    <xf numFmtId="0" fontId="35" fillId="27" borderId="6" xfId="309" applyNumberFormat="1" applyFont="1" applyBorder="1" applyAlignment="1">
      <alignment wrapText="1"/>
      <protection locked="0"/>
    </xf>
    <xf numFmtId="0" fontId="35" fillId="27" borderId="42" xfId="309" applyNumberFormat="1" applyFont="1" applyBorder="1" applyAlignment="1">
      <alignment wrapText="1"/>
      <protection locked="0"/>
    </xf>
    <xf numFmtId="0" fontId="35" fillId="27" borderId="77" xfId="309" applyNumberFormat="1" applyFont="1" applyBorder="1" applyAlignment="1">
      <alignment wrapText="1"/>
      <protection locked="0"/>
    </xf>
    <xf numFmtId="0" fontId="35" fillId="27" borderId="68" xfId="309" applyNumberFormat="1" applyFont="1" applyBorder="1" applyAlignment="1">
      <alignment wrapText="1"/>
      <protection locked="0"/>
    </xf>
    <xf numFmtId="0" fontId="35" fillId="27" borderId="51" xfId="309" applyNumberFormat="1" applyFont="1" applyBorder="1" applyAlignment="1">
      <alignment wrapText="1"/>
      <protection locked="0"/>
    </xf>
    <xf numFmtId="0" fontId="25" fillId="27" borderId="42" xfId="309" applyNumberFormat="1" applyFont="1" applyBorder="1" applyAlignment="1">
      <alignment horizontal="left" vertical="top" wrapText="1"/>
      <protection locked="0"/>
    </xf>
    <xf numFmtId="0" fontId="25" fillId="27" borderId="77" xfId="309" applyNumberFormat="1" applyFont="1" applyBorder="1" applyAlignment="1">
      <alignment horizontal="left" vertical="top" wrapText="1"/>
      <protection locked="0"/>
    </xf>
    <xf numFmtId="0" fontId="35" fillId="27" borderId="17" xfId="309" applyNumberFormat="1" applyFont="1" applyBorder="1" applyAlignment="1">
      <alignment wrapText="1"/>
      <protection locked="0"/>
    </xf>
    <xf numFmtId="0" fontId="35" fillId="27" borderId="10" xfId="309" applyNumberFormat="1" applyFont="1" applyBorder="1" applyAlignment="1">
      <alignment wrapText="1"/>
      <protection locked="0"/>
    </xf>
    <xf numFmtId="0" fontId="25" fillId="27" borderId="16" xfId="309" applyNumberFormat="1" applyFont="1" applyBorder="1" applyAlignment="1">
      <alignment horizontal="left" vertical="top" wrapText="1"/>
      <protection locked="0"/>
    </xf>
    <xf numFmtId="0" fontId="25" fillId="27" borderId="14" xfId="309" applyNumberFormat="1" applyFont="1" applyBorder="1" applyAlignment="1">
      <alignment horizontal="left" vertical="top" wrapText="1"/>
      <protection locked="0"/>
    </xf>
    <xf numFmtId="0" fontId="19" fillId="0" borderId="25" xfId="0" applyFont="1" applyBorder="1" applyAlignment="1" applyProtection="1">
      <alignment horizontal="right" vertical="top"/>
      <protection hidden="1"/>
    </xf>
    <xf numFmtId="0" fontId="19" fillId="0" borderId="12" xfId="0" applyFont="1" applyBorder="1" applyAlignment="1" applyProtection="1">
      <alignment horizontal="right" vertical="top"/>
      <protection hidden="1"/>
    </xf>
    <xf numFmtId="0" fontId="25" fillId="27" borderId="25" xfId="309" applyNumberFormat="1" applyFont="1" applyBorder="1" applyAlignment="1">
      <alignment horizontal="left" vertical="top" wrapText="1"/>
      <protection locked="0"/>
    </xf>
    <xf numFmtId="0" fontId="25" fillId="27" borderId="22" xfId="309" applyNumberFormat="1" applyFont="1" applyBorder="1" applyAlignment="1">
      <alignment horizontal="left" vertical="top" wrapText="1"/>
      <protection locked="0"/>
    </xf>
    <xf numFmtId="0" fontId="19" fillId="0" borderId="32" xfId="0" applyFont="1" applyBorder="1" applyAlignment="1" applyProtection="1">
      <alignment horizontal="right" vertical="top"/>
      <protection hidden="1"/>
    </xf>
    <xf numFmtId="0" fontId="19" fillId="0" borderId="0" xfId="0" applyFont="1" applyBorder="1" applyAlignment="1" applyProtection="1">
      <alignment horizontal="right" vertical="top"/>
      <protection hidden="1"/>
    </xf>
    <xf numFmtId="0" fontId="25" fillId="27" borderId="56" xfId="309" applyNumberFormat="1" applyFont="1" applyBorder="1" applyAlignment="1">
      <alignment horizontal="left" vertical="top" wrapText="1"/>
      <protection locked="0"/>
    </xf>
    <xf numFmtId="0" fontId="25" fillId="27" borderId="19" xfId="309" applyNumberFormat="1" applyFont="1" applyBorder="1" applyAlignment="1">
      <alignment horizontal="left" vertical="top" wrapText="1"/>
      <protection locked="0"/>
    </xf>
    <xf numFmtId="0" fontId="19" fillId="0" borderId="8" xfId="0" applyFont="1" applyBorder="1" applyAlignment="1" applyProtection="1">
      <alignment horizontal="right" vertical="top"/>
      <protection hidden="1"/>
    </xf>
    <xf numFmtId="0" fontId="19" fillId="0" borderId="36" xfId="0" applyFont="1" applyBorder="1" applyAlignment="1" applyProtection="1">
      <alignment horizontal="right" vertical="top"/>
      <protection hidden="1"/>
    </xf>
    <xf numFmtId="0" fontId="35" fillId="27" borderId="56" xfId="309" applyNumberFormat="1" applyFont="1" applyBorder="1" applyAlignment="1">
      <alignment wrapText="1"/>
      <protection locked="0"/>
    </xf>
    <xf numFmtId="0" fontId="35" fillId="27" borderId="19" xfId="309" applyNumberFormat="1" applyFont="1" applyBorder="1" applyAlignment="1">
      <alignment wrapText="1"/>
      <protection locked="0"/>
    </xf>
    <xf numFmtId="0" fontId="20" fillId="0" borderId="41" xfId="0" applyFont="1" applyBorder="1" applyAlignment="1">
      <alignment horizontal="center" vertical="center" wrapText="1"/>
      <protection hidden="1"/>
    </xf>
    <xf numFmtId="0" fontId="20" fillId="0" borderId="39" xfId="0" applyFont="1" applyBorder="1" applyAlignment="1">
      <alignment horizontal="center" vertical="center" wrapText="1"/>
      <protection hidden="1"/>
    </xf>
    <xf numFmtId="0" fontId="14" fillId="0" borderId="68" xfId="0" applyFont="1" applyFill="1" applyBorder="1" applyAlignment="1" applyProtection="1">
      <alignment horizontal="center"/>
      <protection hidden="1"/>
    </xf>
    <xf numFmtId="0" fontId="14" fillId="0" borderId="51" xfId="0" applyFont="1" applyFill="1" applyBorder="1" applyAlignment="1" applyProtection="1">
      <alignment horizontal="center"/>
      <protection hidden="1"/>
    </xf>
    <xf numFmtId="0" fontId="14" fillId="0" borderId="26" xfId="0" applyFont="1" applyBorder="1" applyAlignment="1" applyProtection="1">
      <alignment horizontal="center" vertical="center" wrapText="1"/>
      <protection hidden="1"/>
    </xf>
    <xf numFmtId="0" fontId="14" fillId="0" borderId="36" xfId="0" applyFont="1" applyBorder="1" applyAlignment="1" applyProtection="1">
      <alignment horizontal="center" vertical="center" wrapText="1"/>
      <protection hidden="1"/>
    </xf>
    <xf numFmtId="0" fontId="19" fillId="0" borderId="37" xfId="0" applyFont="1" applyBorder="1" applyAlignment="1" applyProtection="1">
      <alignment horizontal="right" vertical="top"/>
      <protection hidden="1"/>
    </xf>
    <xf numFmtId="0" fontId="25" fillId="27" borderId="78" xfId="309" applyNumberFormat="1" applyFont="1" applyBorder="1" applyAlignment="1">
      <alignment horizontal="left" vertical="top" wrapText="1"/>
      <protection locked="0"/>
    </xf>
    <xf numFmtId="0" fontId="25" fillId="27" borderId="104" xfId="309" applyNumberFormat="1" applyFont="1" applyBorder="1" applyAlignment="1">
      <alignment horizontal="left" vertical="top" wrapText="1"/>
      <protection locked="0"/>
    </xf>
    <xf numFmtId="4" fontId="4" fillId="0" borderId="44" xfId="113" applyNumberFormat="1" applyFont="1" applyFill="1" applyBorder="1" applyAlignment="1">
      <alignment horizontal="center" vertical="top"/>
    </xf>
    <xf numFmtId="4" fontId="4" fillId="0" borderId="26" xfId="113" applyNumberFormat="1" applyFont="1" applyFill="1" applyBorder="1" applyAlignment="1">
      <alignment horizontal="center" vertical="top"/>
    </xf>
    <xf numFmtId="4" fontId="4" fillId="0" borderId="47" xfId="113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top" wrapText="1"/>
      <protection hidden="1"/>
    </xf>
  </cellXfs>
  <cellStyles count="35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6" xfId="10" builtinId="51" customBuiltin="1"/>
    <cellStyle name="60% - Accent1" xfId="11" builtinId="32" customBuiltin="1"/>
    <cellStyle name="60% - Accent2" xfId="12" builtinId="36" customBuiltin="1"/>
    <cellStyle name="60% - Accent3" xfId="13" builtinId="40" customBuiltin="1"/>
    <cellStyle name="60% - Accent4" xfId="14" builtinId="44" customBuiltin="1"/>
    <cellStyle name="60% - Accent5" xfId="15" builtinId="48" customBuiltin="1"/>
    <cellStyle name="60% - Accent6" xfId="16" builtinId="52" customBuiltin="1"/>
    <cellStyle name="Accent1" xfId="17" builtinId="29" customBuiltin="1"/>
    <cellStyle name="Accent2" xfId="18" builtinId="33" customBuiltin="1"/>
    <cellStyle name="Accent3" xfId="19" builtinId="37" customBuiltin="1"/>
    <cellStyle name="Accent6" xfId="20" builtinId="49" customBuiltin="1"/>
    <cellStyle name="AROTableHeading" xfId="21"/>
    <cellStyle name="AROTableHeadingBoldGrey" xfId="22"/>
    <cellStyle name="AROTableHeadingBoldGreyCenterAcross" xfId="23"/>
    <cellStyle name="AROTableHeadingBoldGreyRB" xfId="24"/>
    <cellStyle name="AROTableHeadingColored" xfId="25"/>
    <cellStyle name="AROTableHeadingRotateBoldGrey" xfId="26"/>
    <cellStyle name="Bad" xfId="27" builtinId="27" customBuiltin="1"/>
    <cellStyle name="Calculation" xfId="28" builtinId="22" customBuiltin="1"/>
    <cellStyle name="CalculationAcctCommaZero" xfId="29"/>
    <cellStyle name="CalculationAcctCommaZeroRB" xfId="30"/>
    <cellStyle name="CalculationBB" xfId="31"/>
    <cellStyle name="CalculationBBLB" xfId="32"/>
    <cellStyle name="CalculationBBLBRB" xfId="33"/>
    <cellStyle name="CalculationBBRB" xfId="34"/>
    <cellStyle name="CalculationBold" xfId="35"/>
    <cellStyle name="CalculationBoldNoBord" xfId="36"/>
    <cellStyle name="CalculationBordered" xfId="37"/>
    <cellStyle name="CalculationBorderedLeft" xfId="38"/>
    <cellStyle name="CalculationBorderedRgt" xfId="39"/>
    <cellStyle name="CalculationBot" xfId="40"/>
    <cellStyle name="CalculationBotRB" xfId="41"/>
    <cellStyle name="CalculationCenter" xfId="42"/>
    <cellStyle name="CalculationCenterAcrossBold" xfId="43"/>
    <cellStyle name="CalculationCenterBold" xfId="44"/>
    <cellStyle name="CalculationCenterBoldBorderedWrap" xfId="45"/>
    <cellStyle name="CalculationCenterBoldWrap" xfId="46"/>
    <cellStyle name="CalculationCenteredCurDoubleBorderd" xfId="47"/>
    <cellStyle name="CalculationCenterLB" xfId="48"/>
    <cellStyle name="CalculationCur" xfId="49"/>
    <cellStyle name="CalculationCurBB" xfId="50"/>
    <cellStyle name="CalculationCurBoldBB" xfId="51"/>
    <cellStyle name="CalculationCurBoldBBLB" xfId="52"/>
    <cellStyle name="CalculationCurBoldBBLBRBTB" xfId="53"/>
    <cellStyle name="CalculationCurBoldBBLBTB" xfId="54"/>
    <cellStyle name="CalculationCurBoldBBRB" xfId="55"/>
    <cellStyle name="CalculationCurBoldBBRBTB" xfId="56"/>
    <cellStyle name="CalculationCurBoldBBTB" xfId="57"/>
    <cellStyle name="CalculationCurBoldRB" xfId="58"/>
    <cellStyle name="CalculationCurCenter" xfId="59"/>
    <cellStyle name="CalculationCurDouble" xfId="60"/>
    <cellStyle name="CalculationCurDoubleBB" xfId="61"/>
    <cellStyle name="CalculationCurDoubleBBLB" xfId="62"/>
    <cellStyle name="CalculationCurDoubleBBRB" xfId="63"/>
    <cellStyle name="CalculationCurDoubleLB" xfId="64"/>
    <cellStyle name="CalculationCurDoubleLBRB" xfId="65"/>
    <cellStyle name="CalculationCurDoubleRB" xfId="66"/>
    <cellStyle name="CalculationCurLB" xfId="67"/>
    <cellStyle name="CalculationCurLBRB" xfId="68"/>
    <cellStyle name="CalculationCurRB" xfId="69"/>
    <cellStyle name="CalculationDateBordered" xfId="70"/>
    <cellStyle name="CalculationDouble" xfId="71"/>
    <cellStyle name="CalculationDoubleBB" xfId="72"/>
    <cellStyle name="CalculationDoubleBBLB" xfId="73"/>
    <cellStyle name="CalculationDoubleBBLBRB" xfId="74"/>
    <cellStyle name="CalculationDoubleBBRB" xfId="75"/>
    <cellStyle name="CalculationDoubleCurBoldBBLBRBTB" xfId="76"/>
    <cellStyle name="CalculationDoubleLB" xfId="77"/>
    <cellStyle name="CalculationDoubleRB" xfId="78"/>
    <cellStyle name="CalculationLB" xfId="79"/>
    <cellStyle name="CalculationLft" xfId="80"/>
    <cellStyle name="CalculationLftLB" xfId="81"/>
    <cellStyle name="CalculationOutlineLeft" xfId="82"/>
    <cellStyle name="CalculationOutlineLeftRB" xfId="83"/>
    <cellStyle name="CalculationOutlineRB" xfId="84"/>
    <cellStyle name="CalculationOutlineRgt" xfId="85"/>
    <cellStyle name="CalculationPercent" xfId="86"/>
    <cellStyle name="CalculationSingle" xfId="87"/>
    <cellStyle name="CalculationSingleBB" xfId="88"/>
    <cellStyle name="CalculationSingleBBLB" xfId="89"/>
    <cellStyle name="CalculationSingleBBLBRB" xfId="90"/>
    <cellStyle name="CalculationSingleBBTB" xfId="91"/>
    <cellStyle name="CalculationSingleLB" xfId="92"/>
    <cellStyle name="CalculationSingleLBBBTB" xfId="93"/>
    <cellStyle name="CalculationSingleRBBBTB" xfId="94"/>
    <cellStyle name="CalculationTopBot" xfId="95"/>
    <cellStyle name="CalculationTriple" xfId="96"/>
    <cellStyle name="CalculationTripleLB" xfId="97"/>
    <cellStyle name="CalculCent0" xfId="98"/>
    <cellStyle name="Check Cell" xfId="99" builtinId="23" customBuiltin="1"/>
    <cellStyle name="Confidence" xfId="100"/>
    <cellStyle name="Constant" xfId="101"/>
    <cellStyle name="Date" xfId="102"/>
    <cellStyle name="Entry" xfId="103"/>
    <cellStyle name="Explanatory Text" xfId="104" builtinId="53" customBuiltin="1"/>
    <cellStyle name="FacilityNumber" xfId="105"/>
    <cellStyle name="FacilityNumberHeading" xfId="106"/>
    <cellStyle name="FacilityNumberHeadingWhite" xfId="107"/>
    <cellStyle name="FASHyperlink" xfId="108"/>
    <cellStyle name="FASSum" xfId="109"/>
    <cellStyle name="FASSumUser" xfId="110"/>
    <cellStyle name="Fixed" xfId="111"/>
    <cellStyle name="Good" xfId="112" builtinId="26" customBuiltin="1"/>
    <cellStyle name="Heading 1" xfId="113" builtinId="16" customBuiltin="1"/>
    <cellStyle name="Heading 2" xfId="114" builtinId="17" customBuiltin="1"/>
    <cellStyle name="Heading 3" xfId="115" builtinId="18" customBuiltin="1"/>
    <cellStyle name="Heading 4" xfId="116" builtinId="19" customBuiltin="1"/>
    <cellStyle name="Input" xfId="117" builtinId="20" customBuiltin="1"/>
    <cellStyle name="LaborBaseColor" xfId="118"/>
    <cellStyle name="Linked Cell" xfId="119" builtinId="24" customBuiltin="1"/>
    <cellStyle name="Neutral" xfId="120" builtinId="28" customBuiltin="1"/>
    <cellStyle name="Normal" xfId="0" builtinId="0"/>
    <cellStyle name="Normal_Labor Rates" xfId="121"/>
    <cellStyle name="Normal16LB" xfId="122"/>
    <cellStyle name="Normal8LB" xfId="123"/>
    <cellStyle name="Normal8RB" xfId="124"/>
    <cellStyle name="NormalAccBorderedBB" xfId="125"/>
    <cellStyle name="NormalBB" xfId="126"/>
    <cellStyle name="NormalBBLB" xfId="127"/>
    <cellStyle name="NormalBBRB" xfId="128"/>
    <cellStyle name="NormalBBRBTB" xfId="129"/>
    <cellStyle name="NormalBBTB" xfId="130"/>
    <cellStyle name="NormalBold12CenteredLB" xfId="131"/>
    <cellStyle name="NormalBoldBB" xfId="132"/>
    <cellStyle name="NormalBoldBordered" xfId="133"/>
    <cellStyle name="NormalBoldBorderedBB" xfId="134"/>
    <cellStyle name="NormalBoldBorderedBBRB" xfId="135"/>
    <cellStyle name="NormalBoldBorderedCenterAcross" xfId="136"/>
    <cellStyle name="NormalBoldBorderedCenteredBBLBRBTB" xfId="137"/>
    <cellStyle name="NormalBoldBotLB" xfId="138"/>
    <cellStyle name="NormalBoldCentered" xfId="139"/>
    <cellStyle name="NormalBoldCenteredItalic" xfId="140"/>
    <cellStyle name="NormalBoldCenteredLB" xfId="141"/>
    <cellStyle name="NormalBoldIndentItalic" xfId="142"/>
    <cellStyle name="NormalBoldLeftBotLB" xfId="143"/>
    <cellStyle name="NormalBoldLeftLB" xfId="144"/>
    <cellStyle name="NormalBoldRight" xfId="145"/>
    <cellStyle name="NormalBoldRightBB" xfId="146"/>
    <cellStyle name="NormalBoldRightBBLBTB" xfId="147"/>
    <cellStyle name="NormalBoldRightTB" xfId="148"/>
    <cellStyle name="NormalBordered" xfId="149"/>
    <cellStyle name="NormalBordered8" xfId="150"/>
    <cellStyle name="NormalBorderedBB" xfId="151"/>
    <cellStyle name="NormalBorderedBot" xfId="152"/>
    <cellStyle name="NormalBorderedCentered" xfId="153"/>
    <cellStyle name="NormalBorderedCenteredBB" xfId="154"/>
    <cellStyle name="NormalBorderedCenteredBBRB" xfId="155"/>
    <cellStyle name="NormalBorderedCenteredComma" xfId="156"/>
    <cellStyle name="NormalBorderedCenteredCommaBB" xfId="157"/>
    <cellStyle name="NormalBorderedCenteredCommaLBBB" xfId="158"/>
    <cellStyle name="NormalBorderedCenteredCommaRB" xfId="159"/>
    <cellStyle name="NormalBorderedCenteredLB" xfId="160"/>
    <cellStyle name="NormalBorderedCenteredRB" xfId="161"/>
    <cellStyle name="NormalBorderedLB" xfId="162"/>
    <cellStyle name="NormalBorderedLeftWrap8LB" xfId="163"/>
    <cellStyle name="NormalBorderedLft" xfId="164"/>
    <cellStyle name="NormalBorderednoBotRight8LB" xfId="165"/>
    <cellStyle name="NormalBorderedRB" xfId="166"/>
    <cellStyle name="NormalBorderedRgt" xfId="167"/>
    <cellStyle name="NormalBorderedRight" xfId="168"/>
    <cellStyle name="NormalBorderedRight8LB" xfId="169"/>
    <cellStyle name="NormalBorderedRight8RB" xfId="170"/>
    <cellStyle name="NormalBorderedRightLB" xfId="171"/>
    <cellStyle name="NormalBorderedRightWrapped" xfId="172"/>
    <cellStyle name="NormalBorderedTopBot" xfId="173"/>
    <cellStyle name="NormalBorderedWrapedBBLB" xfId="174"/>
    <cellStyle name="NormalBorderedWrapedLB" xfId="175"/>
    <cellStyle name="NormalBot" xfId="176"/>
    <cellStyle name="NormalBotLB" xfId="177"/>
    <cellStyle name="NormalBotLBTB" xfId="178"/>
    <cellStyle name="NormalBotRB" xfId="179"/>
    <cellStyle name="NormalCenterBBL" xfId="180"/>
    <cellStyle name="NormalIndent1LB" xfId="181"/>
    <cellStyle name="NormalIndentBotLB" xfId="182"/>
    <cellStyle name="NormalIndentLB" xfId="183"/>
    <cellStyle name="NormalLB" xfId="184"/>
    <cellStyle name="NormalLBRB" xfId="185"/>
    <cellStyle name="NormalLBTB" xfId="186"/>
    <cellStyle name="NormalLeftBB" xfId="187"/>
    <cellStyle name="NormalLftBorder" xfId="188"/>
    <cellStyle name="NormalLftRB" xfId="189"/>
    <cellStyle name="NormalOutlineBBLB" xfId="190"/>
    <cellStyle name="NormalRB" xfId="191"/>
    <cellStyle name="NormalRBTB" xfId="192"/>
    <cellStyle name="NormalRight8BBLB" xfId="193"/>
    <cellStyle name="NormalRight8BBRB" xfId="194"/>
    <cellStyle name="NormalRight8LB" xfId="195"/>
    <cellStyle name="NormalRightBB" xfId="196"/>
    <cellStyle name="NormalRightBBLB" xfId="197"/>
    <cellStyle name="NormalRightBBRB" xfId="198"/>
    <cellStyle name="NormalRightBotLB" xfId="199"/>
    <cellStyle name="NormalRightLB" xfId="200"/>
    <cellStyle name="NormalRightRB" xfId="201"/>
    <cellStyle name="NormalRightTB" xfId="202"/>
    <cellStyle name="NormalTB" xfId="203"/>
    <cellStyle name="NormalTopBot" xfId="204"/>
    <cellStyle name="NormalUnlockedBB" xfId="205"/>
    <cellStyle name="NormalUnlockedBBLB" xfId="206"/>
    <cellStyle name="NormalUnlockedBBRB" xfId="207"/>
    <cellStyle name="NormalWhite" xfId="208"/>
    <cellStyle name="Note" xfId="209" builtinId="10" customBuiltin="1"/>
    <cellStyle name="NotesBoldLeft" xfId="210"/>
    <cellStyle name="NotesBoldLeftBBLB" xfId="211"/>
    <cellStyle name="NotesBoldLeftLB" xfId="212"/>
    <cellStyle name="NotesBoldRight" xfId="213"/>
    <cellStyle name="NotesBoldRightLB" xfId="214"/>
    <cellStyle name="NotesBoldRightTB" xfId="215"/>
    <cellStyle name="Other" xfId="216"/>
    <cellStyle name="Output" xfId="217" builtinId="21" customBuiltin="1"/>
    <cellStyle name="Override" xfId="218"/>
    <cellStyle name="OverrideBordered" xfId="219"/>
    <cellStyle name="OverrideDouble" xfId="220"/>
    <cellStyle name="OverrideHeading" xfId="221"/>
    <cellStyle name="OverrideHeadingBold" xfId="222"/>
    <cellStyle name="OverrideHeadingBoldLB" xfId="223"/>
    <cellStyle name="OverrideHeadingBoldRB" xfId="224"/>
    <cellStyle name="OverrideHeadingLB" xfId="225"/>
    <cellStyle name="OverrideHeadingRB" xfId="226"/>
    <cellStyle name="OverrideLB" xfId="227"/>
    <cellStyle name="OverrideRB" xfId="228"/>
    <cellStyle name="OverrideSingle" xfId="229"/>
    <cellStyle name="Page Header" xfId="230"/>
    <cellStyle name="Percent" xfId="231" builtinId="5"/>
    <cellStyle name="PullDownList" xfId="232"/>
    <cellStyle name="PullDownListBordered" xfId="233"/>
    <cellStyle name="PullDownListBorderedBBLB" xfId="234"/>
    <cellStyle name="PullDownListBorderedCentered" xfId="235"/>
    <cellStyle name="PullDownListBorderedCenteredAcross" xfId="236"/>
    <cellStyle name="PullDownListBorderedCenteredBB" xfId="237"/>
    <cellStyle name="PullDownListBorderedCenteredBBRB" xfId="238"/>
    <cellStyle name="PullDownListBorderedCenteredLB" xfId="239"/>
    <cellStyle name="PullDownListBorderedCenteredRB" xfId="240"/>
    <cellStyle name="PullDownListBorderedCenteredRBTB" xfId="241"/>
    <cellStyle name="PullDownListBorderedLB" xfId="242"/>
    <cellStyle name="PullDownListBorderedRB" xfId="243"/>
    <cellStyle name="PullDownListIndentBorderedLB" xfId="244"/>
    <cellStyle name="StandardCurr0" xfId="245"/>
    <cellStyle name="StandardCurr2" xfId="246"/>
    <cellStyle name="StandardCurr2BB" xfId="247"/>
    <cellStyle name="StandardCurr2RB" xfId="248"/>
    <cellStyle name="StandardCurr3" xfId="249"/>
    <cellStyle name="StandardCurr3RB" xfId="250"/>
    <cellStyle name="StandardFootnote" xfId="251"/>
    <cellStyle name="StandardizedData" xfId="252"/>
    <cellStyle name="StandardizedDataBordered" xfId="253"/>
    <cellStyle name="StandardizedDataBorderedBBLB" xfId="254"/>
    <cellStyle name="StandardizedDataBorderedCenter" xfId="255"/>
    <cellStyle name="StandardizedDataBorderedLB" xfId="256"/>
    <cellStyle name="StandardizedDataBorderedLftTopBot" xfId="257"/>
    <cellStyle name="StandardizedDataBorderedPercBoldBB" xfId="258"/>
    <cellStyle name="StandardizedDataBorderedRightBold" xfId="259"/>
    <cellStyle name="StandardizedDataBotLB" xfId="260"/>
    <cellStyle name="StandardizedDataRBTopBot" xfId="261"/>
    <cellStyle name="StandardizedDataRgtTopBot" xfId="262"/>
    <cellStyle name="StandardizedDataTopBot" xfId="263"/>
    <cellStyle name="StandardizedPullDown" xfId="264"/>
    <cellStyle name="StandardPerc" xfId="265"/>
    <cellStyle name="StandardPerc2" xfId="266"/>
    <cellStyle name="SubtitleBold11" xfId="267"/>
    <cellStyle name="TableHeadingBB" xfId="268"/>
    <cellStyle name="TableHeadingBBLB" xfId="269"/>
    <cellStyle name="TableHeadingBBLBRB" xfId="270"/>
    <cellStyle name="TableHeadingBBRB" xfId="271"/>
    <cellStyle name="TableHeadingBold" xfId="272"/>
    <cellStyle name="TableHeadingBold10CenterAcrossLBTB" xfId="273"/>
    <cellStyle name="TableHeadingBoldBB" xfId="274"/>
    <cellStyle name="TableHeadingBoldBBLB" xfId="275"/>
    <cellStyle name="TableHeadingBoldBBRB" xfId="276"/>
    <cellStyle name="TableHeadingBoldCenterAcross" xfId="277"/>
    <cellStyle name="TableHeadingBoldCenterAcrossBB" xfId="278"/>
    <cellStyle name="TableHeadingBoldCenterAcrossBBLBRB" xfId="279"/>
    <cellStyle name="TableHeadingBoldCenterAcrossLB" xfId="280"/>
    <cellStyle name="TableHeadingBoldCenterAcrossLBRB" xfId="281"/>
    <cellStyle name="TableHeadingBoldLB" xfId="282"/>
    <cellStyle name="TableHeadingBoldLBRB" xfId="283"/>
    <cellStyle name="TableHeadingBoldRB" xfId="284"/>
    <cellStyle name="TableHeadingCenterAcrossBBLB" xfId="285"/>
    <cellStyle name="TableSubTitle" xfId="286"/>
    <cellStyle name="TableSubTitle11LBRBTB" xfId="287"/>
    <cellStyle name="TableSubTitleBBRBTB" xfId="288"/>
    <cellStyle name="TableSubTitleGreyTxt" xfId="289"/>
    <cellStyle name="TableSubTitleLB" xfId="290"/>
    <cellStyle name="TableSubTitleLBRB" xfId="291"/>
    <cellStyle name="TableSubTitleLBRBTB" xfId="292"/>
    <cellStyle name="TableSubTitleLBTB" xfId="293"/>
    <cellStyle name="TableSubTitleLeftLB" xfId="294"/>
    <cellStyle name="TableSubTitleLeftLBTB" xfId="295"/>
    <cellStyle name="TableSubTitleRB" xfId="296"/>
    <cellStyle name="TableSubTitleRBTB" xfId="297"/>
    <cellStyle name="TableSubTitleTB" xfId="298"/>
    <cellStyle name="TableSubTitleTBLB" xfId="299"/>
    <cellStyle name="TableSubTitleTBOnly" xfId="300"/>
    <cellStyle name="TableTitle1" xfId="301"/>
    <cellStyle name="TableTitle2" xfId="302"/>
    <cellStyle name="TableTitle2RB" xfId="303"/>
    <cellStyle name="Title" xfId="304" builtinId="15" customBuiltin="1"/>
    <cellStyle name="TOCHyperlink" xfId="305"/>
    <cellStyle name="TopBorder" xfId="306"/>
    <cellStyle name="Total" xfId="307" builtinId="25" customBuiltin="1"/>
    <cellStyle name="User Normal" xfId="308"/>
    <cellStyle name="UserInput" xfId="309"/>
    <cellStyle name="UserInputAROSheet" xfId="310"/>
    <cellStyle name="UserInputAROSheetBB" xfId="311"/>
    <cellStyle name="UserInputBordered" xfId="312"/>
    <cellStyle name="UserInputBorderedBB" xfId="313"/>
    <cellStyle name="UserInputBorderedBBLB" xfId="314"/>
    <cellStyle name="UserInputBorderedBBRB" xfId="315"/>
    <cellStyle name="UserInputBorderedCentered" xfId="316"/>
    <cellStyle name="UserInputBorderedCenteredAcross" xfId="317"/>
    <cellStyle name="UserInputBorderedCenteredComma" xfId="318"/>
    <cellStyle name="UserInputBorderedCenteredLB" xfId="319"/>
    <cellStyle name="UserInputBorderedCommaLB" xfId="320"/>
    <cellStyle name="UserInputBorderedCur" xfId="321"/>
    <cellStyle name="UserInputBorderedCurDouble" xfId="322"/>
    <cellStyle name="UserInputBorderedCurDoubleBB" xfId="323"/>
    <cellStyle name="UserInputBorderedCurDoubleLB" xfId="324"/>
    <cellStyle name="UserInputBorderedCurDoubleRB" xfId="325"/>
    <cellStyle name="UserInputBorderedCurLB" xfId="326"/>
    <cellStyle name="UserInputBorderedDouble" xfId="327"/>
    <cellStyle name="UserInputBorderedDoubleLB" xfId="328"/>
    <cellStyle name="UserInputBorderedLB" xfId="329"/>
    <cellStyle name="UserInputBorderedLBRB" xfId="330"/>
    <cellStyle name="UserInputBorderedLft" xfId="331"/>
    <cellStyle name="UserInputBorderedLftBB" xfId="332"/>
    <cellStyle name="UserInputBorderedLftBBRB" xfId="333"/>
    <cellStyle name="UserInputBorderedPercent" xfId="334"/>
    <cellStyle name="UserInputBorderedPercentDouble" xfId="335"/>
    <cellStyle name="UserInputBorderedRB" xfId="336"/>
    <cellStyle name="UserInputBorderedSingle" xfId="337"/>
    <cellStyle name="UserInputBorderedSingleLB" xfId="338"/>
    <cellStyle name="UserInputBorderedSingleRB" xfId="339"/>
    <cellStyle name="UserInputDateBorderedCentered" xfId="340"/>
    <cellStyle name="UserInputDateBorderedCenteredRB" xfId="341"/>
    <cellStyle name="UserInputLeftBordered" xfId="342"/>
    <cellStyle name="UserInputLeftBorderedItalic" xfId="343"/>
    <cellStyle name="UserInputLeftIndentBorderedBBLB" xfId="344"/>
    <cellStyle name="UserInputLeftIndentBorderedLB" xfId="345"/>
    <cellStyle name="UserInputNormalBorderedCentered" xfId="346"/>
    <cellStyle name="UserInputNormalBorderedCurDouble" xfId="347"/>
    <cellStyle name="UserInputNormalBorderedRight" xfId="348"/>
    <cellStyle name="UserInputNormalLeftBorderedRB" xfId="349"/>
    <cellStyle name="UserInputRB" xfId="350"/>
    <cellStyle name="UserInputTopBotBordered" xfId="351"/>
    <cellStyle name="UserInputTopBotBorderedRB" xfId="352"/>
    <cellStyle name="UserInputTopBotLftBordered" xfId="353"/>
    <cellStyle name="UserInputTopBotRB" xfId="354"/>
    <cellStyle name="Warning Text" xfId="35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2" Type="http://schemas.microsoft.com/office/2014/relationships/vbaProjectSignatureAgile" Target="vbaProjectSignatureAgile.bin"/><Relationship Id="rId1" Type="http://schemas.microsoft.com/office/2006/relationships/vbaProjectSignature" Target="vbaProjectSignature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pproved%20Versions\Version%201.0\Nev%20Std%20Bond%20Costs%20Beta%203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y Information"/>
      <sheetName val="Clip Art"/>
      <sheetName val="Table of Contents"/>
      <sheetName val="Cost Summary"/>
      <sheetName val="Exploration"/>
      <sheetName val="Roads &amp; Drill Pads"/>
      <sheetName val="Well Abandonment "/>
      <sheetName val="Pits"/>
      <sheetName val="Underground Openings"/>
      <sheetName val="Process Ponds"/>
      <sheetName val="Heap Leach"/>
      <sheetName val="Waste Rock Dumps"/>
      <sheetName val="Landfills"/>
      <sheetName val="Tailings"/>
      <sheetName val="Foundations &amp; Buildings"/>
      <sheetName val="Other Demo &amp; Equip Removal"/>
      <sheetName val="Yards, Etc."/>
      <sheetName val="Sediment &amp; Drainage Control"/>
      <sheetName val="Monitoring"/>
      <sheetName val="Misc. Costs"/>
      <sheetName val="Constr. Mgmt"/>
      <sheetName val="Labor Rates"/>
      <sheetName val="Equipment Costs"/>
      <sheetName val="Material Costs"/>
      <sheetName val="Misc. Unit Costs"/>
      <sheetName val="Fleets (Crews)"/>
      <sheetName val="Productivity"/>
      <sheetName val=" Seed Mixture"/>
      <sheetName val="Lists"/>
      <sheetName val="User 1"/>
      <sheetName val="User 2"/>
      <sheetName val="User 3"/>
      <sheetName val="User 4"/>
      <sheetName val="User 5"/>
      <sheetName val="User 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4"/>
    <pageSetUpPr fitToPage="1"/>
  </sheetPr>
  <dimension ref="A1:BZ28"/>
  <sheetViews>
    <sheetView tabSelected="1" workbookViewId="0">
      <selection activeCell="E35" sqref="E35"/>
    </sheetView>
  </sheetViews>
  <sheetFormatPr defaultRowHeight="12.75"/>
  <cols>
    <col min="1" max="1" width="20.140625" customWidth="1"/>
    <col min="2" max="2" width="38.140625" customWidth="1"/>
    <col min="3" max="3" width="61.140625" customWidth="1"/>
    <col min="53" max="78" width="9.140625" hidden="1" customWidth="1"/>
  </cols>
  <sheetData>
    <row r="1" spans="1:55" ht="15.75">
      <c r="A1" s="177" t="s">
        <v>237</v>
      </c>
      <c r="B1" s="122" t="str">
        <f>Validity</f>
        <v>SRCE Data File v1.12</v>
      </c>
      <c r="BA1" s="178" t="s">
        <v>397</v>
      </c>
    </row>
    <row r="2" spans="1:55" ht="15.75">
      <c r="A2" s="175" t="s">
        <v>140</v>
      </c>
      <c r="B2" s="176" t="str">
        <f ca="1">MID(CELL("filename",BB3),FIND("[",CELL("filename",BB3))+1,FIND("]",CELL("filename",BB3),FIND("[",CELL("filename",BB3))+1)-FIND("[",CELL("filename",BB3))-1)</f>
        <v>SRCE_Cost_data-USR_1_12_AustExample.xlsm</v>
      </c>
    </row>
    <row r="3" spans="1:55" ht="15.75">
      <c r="A3" s="82" t="s">
        <v>141</v>
      </c>
      <c r="B3" s="250">
        <v>39720</v>
      </c>
    </row>
    <row r="4" spans="1:55" ht="16.5" thickBot="1">
      <c r="A4" s="82" t="s">
        <v>311</v>
      </c>
      <c r="B4" s="234" t="s">
        <v>351</v>
      </c>
    </row>
    <row r="5" spans="1:55" ht="16.5" thickBot="1">
      <c r="A5" s="150" t="s">
        <v>144</v>
      </c>
      <c r="B5" s="423" t="s">
        <v>409</v>
      </c>
      <c r="C5" s="251"/>
    </row>
    <row r="7" spans="1:55" ht="13.5" thickBot="1">
      <c r="BC7" s="184" t="s">
        <v>248</v>
      </c>
    </row>
    <row r="8" spans="1:55" ht="13.5" thickBot="1">
      <c r="A8" s="185" t="s">
        <v>247</v>
      </c>
      <c r="B8" s="186" t="s">
        <v>317</v>
      </c>
      <c r="C8" s="183" t="str">
        <f>IF(ISBLANK(B8),"  &lt;&lt;&lt; Select Units of Measure","")</f>
        <v/>
      </c>
      <c r="BB8" s="182" t="s">
        <v>247</v>
      </c>
      <c r="BC8" t="b">
        <f>IF(B8="Metric",TRUE,FALSE)</f>
        <v>1</v>
      </c>
    </row>
    <row r="9" spans="1:55">
      <c r="D9" s="232" t="s">
        <v>249</v>
      </c>
    </row>
    <row r="10" spans="1:55" ht="13.5" thickBot="1"/>
    <row r="11" spans="1:55" ht="13.5" thickBot="1">
      <c r="A11" s="71" t="s">
        <v>255</v>
      </c>
      <c r="B11" s="233">
        <f>COUNTA(Regions)</f>
        <v>2</v>
      </c>
    </row>
    <row r="12" spans="1:55" ht="13.5" thickBot="1">
      <c r="A12" s="91"/>
    </row>
    <row r="13" spans="1:55" ht="16.5" thickBot="1">
      <c r="A13" s="121" t="s">
        <v>256</v>
      </c>
      <c r="B13" s="237" t="s">
        <v>257</v>
      </c>
      <c r="C13" s="120" t="s">
        <v>258</v>
      </c>
    </row>
    <row r="14" spans="1:55" s="155" customFormat="1">
      <c r="A14" s="187" t="s">
        <v>259</v>
      </c>
      <c r="B14" s="576" t="s">
        <v>405</v>
      </c>
      <c r="C14" s="469" t="s">
        <v>406</v>
      </c>
    </row>
    <row r="15" spans="1:55" s="155" customFormat="1">
      <c r="A15" s="188" t="s">
        <v>260</v>
      </c>
      <c r="B15" s="577" t="s">
        <v>407</v>
      </c>
      <c r="C15" s="469" t="s">
        <v>408</v>
      </c>
    </row>
    <row r="16" spans="1:55" s="155" customFormat="1">
      <c r="A16" s="188" t="s">
        <v>261</v>
      </c>
      <c r="B16" s="578"/>
      <c r="C16" s="579"/>
    </row>
    <row r="17" spans="1:3" s="155" customFormat="1">
      <c r="A17" s="188" t="s">
        <v>262</v>
      </c>
      <c r="B17" s="578"/>
      <c r="C17" s="579"/>
    </row>
    <row r="18" spans="1:3" s="155" customFormat="1">
      <c r="A18" s="188" t="s">
        <v>263</v>
      </c>
      <c r="B18" s="578"/>
      <c r="C18" s="579"/>
    </row>
    <row r="19" spans="1:3" s="155" customFormat="1">
      <c r="A19" s="188" t="s">
        <v>264</v>
      </c>
      <c r="B19" s="252"/>
      <c r="C19" s="253"/>
    </row>
    <row r="20" spans="1:3" s="155" customFormat="1">
      <c r="A20" s="188" t="s">
        <v>265</v>
      </c>
      <c r="B20" s="252"/>
      <c r="C20" s="253"/>
    </row>
    <row r="21" spans="1:3" s="155" customFormat="1">
      <c r="A21" s="188" t="s">
        <v>266</v>
      </c>
      <c r="B21" s="252"/>
      <c r="C21" s="253"/>
    </row>
    <row r="22" spans="1:3" s="155" customFormat="1">
      <c r="A22" s="188" t="s">
        <v>267</v>
      </c>
      <c r="B22" s="252"/>
      <c r="C22" s="253"/>
    </row>
    <row r="23" spans="1:3" s="155" customFormat="1">
      <c r="A23" s="188" t="s">
        <v>268</v>
      </c>
      <c r="B23" s="252"/>
      <c r="C23" s="253"/>
    </row>
    <row r="24" spans="1:3" s="155" customFormat="1">
      <c r="A24" s="188" t="s">
        <v>269</v>
      </c>
      <c r="B24" s="252"/>
      <c r="C24" s="253"/>
    </row>
    <row r="25" spans="1:3" s="155" customFormat="1">
      <c r="A25" s="188" t="s">
        <v>270</v>
      </c>
      <c r="B25" s="252"/>
      <c r="C25" s="253"/>
    </row>
    <row r="26" spans="1:3" s="155" customFormat="1">
      <c r="A26" s="188" t="s">
        <v>271</v>
      </c>
      <c r="B26" s="252"/>
      <c r="C26" s="253"/>
    </row>
    <row r="27" spans="1:3" s="155" customFormat="1">
      <c r="A27" s="188" t="s">
        <v>272</v>
      </c>
      <c r="B27" s="252"/>
      <c r="C27" s="253"/>
    </row>
    <row r="28" spans="1:3" s="155" customFormat="1" ht="13.5" thickBot="1">
      <c r="A28" s="189" t="s">
        <v>273</v>
      </c>
      <c r="B28" s="254"/>
      <c r="C28" s="255"/>
    </row>
  </sheetData>
  <sheetProtection password="E51C" sheet="1" objects="1" scenarios="1"/>
  <protectedRanges>
    <protectedRange password="8CE6" sqref="B14:C28" name="RegionInformation"/>
    <protectedRange password="8CE6" sqref="B8" name="UnitsOfMeasure"/>
    <protectedRange password="8CE6" sqref="B4" name="CostBasis"/>
    <protectedRange password="8CE6" sqref="B3" name="DataFileDate"/>
    <protectedRange password="8CE6" sqref="B5" name="Author_1"/>
  </protectedRanges>
  <dataConsolidate/>
  <phoneticPr fontId="10" type="noConversion"/>
  <dataValidations count="1">
    <dataValidation type="list" allowBlank="1" showInputMessage="1" showErrorMessage="1" sqref="B8">
      <formula1>"Metric,Imperial"</formula1>
    </dataValidation>
  </dataValidations>
  <pageMargins left="0.75" right="0.75" top="1" bottom="1" header="0.5" footer="0.5"/>
  <pageSetup paperSize="9" scale="15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4"/>
  </sheetPr>
  <dimension ref="A1:T427"/>
  <sheetViews>
    <sheetView zoomScale="75" zoomScaleNormal="100" workbookViewId="0">
      <pane xSplit="1" ySplit="11" topLeftCell="B12" activePane="bottomRight" state="frozenSplit"/>
      <selection pane="topRight" activeCell="D1" sqref="D1"/>
      <selection pane="bottomLeft" activeCell="A12" sqref="A12"/>
      <selection pane="bottomRight" activeCell="B7" sqref="B7"/>
    </sheetView>
  </sheetViews>
  <sheetFormatPr defaultRowHeight="12.75"/>
  <cols>
    <col min="1" max="1" width="28.7109375" customWidth="1"/>
    <col min="2" max="16" width="17.85546875" customWidth="1"/>
  </cols>
  <sheetData>
    <row r="1" spans="1:20" ht="13.5" thickBot="1"/>
    <row r="2" spans="1:20" ht="15.75">
      <c r="A2" s="81" t="s">
        <v>140</v>
      </c>
      <c r="B2" s="603" t="str">
        <f ca="1">DataFileName</f>
        <v>SRCE_Cost_data-USR_1_12_AustExample.xlsm</v>
      </c>
      <c r="C2" s="604"/>
      <c r="D2" s="123"/>
      <c r="E2" s="122"/>
      <c r="F2" s="6"/>
      <c r="G2" s="6"/>
      <c r="H2" s="6"/>
      <c r="I2" s="6"/>
    </row>
    <row r="3" spans="1:20" ht="15.75">
      <c r="A3" s="82" t="s">
        <v>141</v>
      </c>
      <c r="B3" s="605">
        <f>DataFileDate</f>
        <v>39720</v>
      </c>
      <c r="C3" s="606"/>
      <c r="D3" s="390"/>
      <c r="E3" s="245"/>
      <c r="F3" s="6"/>
      <c r="G3" s="6"/>
      <c r="H3" s="6"/>
      <c r="I3" s="6"/>
    </row>
    <row r="4" spans="1:20" ht="15.75">
      <c r="A4" s="82" t="s">
        <v>143</v>
      </c>
      <c r="B4" s="607" t="str">
        <f>DataCostBasis</f>
        <v>User Data</v>
      </c>
      <c r="C4" s="608"/>
      <c r="D4" s="390"/>
      <c r="E4" s="245"/>
      <c r="F4" s="6"/>
      <c r="G4" s="6"/>
      <c r="H4" s="6"/>
      <c r="I4" s="6"/>
    </row>
    <row r="5" spans="1:20" ht="16.5" thickBot="1">
      <c r="A5" s="83" t="s">
        <v>144</v>
      </c>
      <c r="B5" s="391" t="str">
        <f>AuthorSource</f>
        <v>AB Consulting</v>
      </c>
      <c r="C5" s="392"/>
      <c r="D5" s="392"/>
      <c r="E5" s="393"/>
      <c r="F5" s="6"/>
      <c r="G5" s="6"/>
      <c r="H5" s="6"/>
      <c r="I5" s="6"/>
    </row>
    <row r="6" spans="1:20" ht="15.75" thickBot="1">
      <c r="A6" s="6"/>
      <c r="B6" s="6"/>
      <c r="C6" s="6"/>
      <c r="D6" s="6"/>
      <c r="E6" s="6"/>
      <c r="F6" s="6"/>
      <c r="G6" s="6"/>
      <c r="H6" s="6"/>
      <c r="I6" s="6"/>
    </row>
    <row r="7" spans="1:20" ht="29.25" thickBot="1">
      <c r="A7" s="240" t="s">
        <v>303</v>
      </c>
      <c r="B7" s="256">
        <v>176</v>
      </c>
      <c r="C7" s="256">
        <v>176</v>
      </c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572"/>
    </row>
    <row r="8" spans="1:20" ht="15.75" thickBot="1">
      <c r="A8" s="6"/>
      <c r="B8" s="6"/>
      <c r="C8" s="6"/>
      <c r="D8" s="6"/>
      <c r="E8" s="6"/>
      <c r="F8" s="6"/>
      <c r="G8" s="6"/>
      <c r="H8" s="6"/>
      <c r="I8" s="6"/>
    </row>
    <row r="9" spans="1:20" ht="27" customHeight="1" thickBot="1">
      <c r="A9" s="7" t="s">
        <v>356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8"/>
      <c r="O9" s="8"/>
      <c r="P9" s="9"/>
      <c r="Q9" s="10"/>
      <c r="R9" s="10"/>
      <c r="S9" s="1"/>
      <c r="T9" s="1"/>
    </row>
    <row r="10" spans="1:20" ht="18.75" customHeight="1">
      <c r="A10" s="610" t="s">
        <v>146</v>
      </c>
      <c r="B10" s="84" t="s">
        <v>259</v>
      </c>
      <c r="C10" s="84" t="s">
        <v>260</v>
      </c>
      <c r="D10" s="84" t="s">
        <v>261</v>
      </c>
      <c r="E10" s="84" t="s">
        <v>262</v>
      </c>
      <c r="F10" s="84" t="s">
        <v>263</v>
      </c>
      <c r="G10" s="84" t="s">
        <v>264</v>
      </c>
      <c r="H10" s="84" t="s">
        <v>265</v>
      </c>
      <c r="I10" s="84" t="s">
        <v>266</v>
      </c>
      <c r="J10" s="84" t="s">
        <v>267</v>
      </c>
      <c r="K10" s="84" t="s">
        <v>268</v>
      </c>
      <c r="L10" s="84" t="s">
        <v>269</v>
      </c>
      <c r="M10" s="84" t="s">
        <v>270</v>
      </c>
      <c r="N10" s="84" t="s">
        <v>271</v>
      </c>
      <c r="O10" s="84" t="s">
        <v>272</v>
      </c>
      <c r="P10" s="85" t="s">
        <v>273</v>
      </c>
    </row>
    <row r="11" spans="1:20" s="415" customFormat="1" ht="30" customHeight="1" thickBot="1">
      <c r="A11" s="611"/>
      <c r="B11" s="413" t="str">
        <f t="shared" ref="B11:P11" si="0">IF(ISBLANK(VLOOKUP(B10,RegionNames,2,FALSE)),"",VLOOKUP(B10,RegionNames,2,FALSE))</f>
        <v>WA ARO</v>
      </c>
      <c r="C11" s="413" t="str">
        <f t="shared" si="0"/>
        <v>WA LOM - site costs</v>
      </c>
      <c r="D11" s="413" t="str">
        <f t="shared" si="0"/>
        <v/>
      </c>
      <c r="E11" s="413" t="str">
        <f t="shared" si="0"/>
        <v/>
      </c>
      <c r="F11" s="413" t="str">
        <f t="shared" si="0"/>
        <v/>
      </c>
      <c r="G11" s="413" t="str">
        <f t="shared" si="0"/>
        <v/>
      </c>
      <c r="H11" s="413" t="str">
        <f t="shared" si="0"/>
        <v/>
      </c>
      <c r="I11" s="413" t="str">
        <f t="shared" si="0"/>
        <v/>
      </c>
      <c r="J11" s="413" t="str">
        <f t="shared" si="0"/>
        <v/>
      </c>
      <c r="K11" s="413" t="str">
        <f t="shared" si="0"/>
        <v/>
      </c>
      <c r="L11" s="413" t="str">
        <f t="shared" si="0"/>
        <v/>
      </c>
      <c r="M11" s="413" t="str">
        <f t="shared" si="0"/>
        <v/>
      </c>
      <c r="N11" s="413" t="str">
        <f t="shared" si="0"/>
        <v/>
      </c>
      <c r="O11" s="413" t="str">
        <f t="shared" si="0"/>
        <v/>
      </c>
      <c r="P11" s="414" t="str">
        <f t="shared" si="0"/>
        <v/>
      </c>
    </row>
    <row r="12" spans="1:20" ht="16.5" customHeight="1" thickBot="1">
      <c r="A12" s="89" t="s">
        <v>41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9"/>
    </row>
    <row r="13" spans="1:20" ht="13.5" customHeight="1">
      <c r="A13" s="13" t="s">
        <v>42</v>
      </c>
      <c r="B13" s="580">
        <v>14260.28</v>
      </c>
      <c r="C13" s="580">
        <v>14260.28</v>
      </c>
      <c r="D13" s="580"/>
      <c r="E13" s="580"/>
      <c r="F13" s="580"/>
      <c r="G13" s="257"/>
      <c r="H13" s="257"/>
      <c r="I13" s="257"/>
      <c r="J13" s="257"/>
      <c r="K13" s="257"/>
      <c r="L13" s="257"/>
      <c r="M13" s="257"/>
      <c r="N13" s="257"/>
      <c r="O13" s="257"/>
      <c r="P13" s="258"/>
    </row>
    <row r="14" spans="1:20" ht="13.5" customHeight="1">
      <c r="A14" s="14" t="s">
        <v>5</v>
      </c>
      <c r="B14" s="581">
        <v>14960</v>
      </c>
      <c r="C14" s="581">
        <v>14960</v>
      </c>
      <c r="D14" s="581"/>
      <c r="E14" s="581"/>
      <c r="F14" s="581"/>
      <c r="G14" s="263"/>
      <c r="H14" s="263"/>
      <c r="I14" s="263"/>
      <c r="J14" s="263"/>
      <c r="K14" s="263"/>
      <c r="L14" s="263"/>
      <c r="M14" s="263"/>
      <c r="N14" s="263"/>
      <c r="O14" s="263"/>
      <c r="P14" s="264"/>
    </row>
    <row r="15" spans="1:20" ht="13.5" customHeight="1">
      <c r="A15" s="14" t="s">
        <v>43</v>
      </c>
      <c r="B15" s="582">
        <v>1950</v>
      </c>
      <c r="C15" s="582">
        <v>19086.84</v>
      </c>
      <c r="D15" s="582"/>
      <c r="E15" s="582"/>
      <c r="F15" s="582"/>
      <c r="G15" s="259"/>
      <c r="H15" s="259"/>
      <c r="I15" s="259"/>
      <c r="J15" s="259"/>
      <c r="K15" s="259"/>
      <c r="L15" s="259"/>
      <c r="M15" s="259"/>
      <c r="N15" s="259"/>
      <c r="O15" s="259"/>
      <c r="P15" s="260"/>
    </row>
    <row r="16" spans="1:20" ht="13.5" customHeight="1">
      <c r="A16" s="14" t="s">
        <v>44</v>
      </c>
      <c r="B16" s="582">
        <v>19500</v>
      </c>
      <c r="C16" s="582">
        <v>24449.119999999999</v>
      </c>
      <c r="D16" s="582"/>
      <c r="E16" s="582"/>
      <c r="F16" s="582"/>
      <c r="G16" s="259"/>
      <c r="H16" s="259"/>
      <c r="I16" s="259"/>
      <c r="J16" s="259"/>
      <c r="K16" s="259"/>
      <c r="L16" s="259"/>
      <c r="M16" s="259"/>
      <c r="N16" s="259"/>
      <c r="O16" s="259"/>
      <c r="P16" s="260"/>
    </row>
    <row r="17" spans="1:16" ht="13.5" customHeight="1">
      <c r="A17" s="14" t="s">
        <v>45</v>
      </c>
      <c r="B17" s="582">
        <v>28750</v>
      </c>
      <c r="C17" s="582">
        <v>20765</v>
      </c>
      <c r="D17" s="582"/>
      <c r="E17" s="582"/>
      <c r="F17" s="582"/>
      <c r="G17" s="259"/>
      <c r="H17" s="259"/>
      <c r="I17" s="259"/>
      <c r="J17" s="259"/>
      <c r="K17" s="259"/>
      <c r="L17" s="259"/>
      <c r="M17" s="259"/>
      <c r="N17" s="259"/>
      <c r="O17" s="259"/>
      <c r="P17" s="260"/>
    </row>
    <row r="18" spans="1:16" ht="13.5" customHeight="1">
      <c r="A18" s="15" t="s">
        <v>46</v>
      </c>
      <c r="B18" s="583">
        <v>35140.120000000003</v>
      </c>
      <c r="C18" s="583">
        <v>35140.120000000003</v>
      </c>
      <c r="D18" s="583"/>
      <c r="E18" s="583"/>
      <c r="F18" s="582"/>
      <c r="G18" s="261"/>
      <c r="H18" s="261"/>
      <c r="I18" s="261"/>
      <c r="J18" s="261"/>
      <c r="K18" s="261"/>
      <c r="L18" s="261"/>
      <c r="M18" s="261"/>
      <c r="N18" s="261"/>
      <c r="O18" s="261"/>
      <c r="P18" s="260"/>
    </row>
    <row r="19" spans="1:16" ht="13.5" customHeight="1" thickBot="1">
      <c r="A19" s="16" t="s">
        <v>47</v>
      </c>
      <c r="B19" s="581">
        <v>47014.04</v>
      </c>
      <c r="C19" s="581">
        <v>37014.04</v>
      </c>
      <c r="D19" s="581"/>
      <c r="E19" s="581"/>
      <c r="F19" s="582"/>
      <c r="G19" s="263"/>
      <c r="H19" s="263"/>
      <c r="I19" s="263"/>
      <c r="J19" s="263"/>
      <c r="K19" s="263"/>
      <c r="L19" s="263"/>
      <c r="M19" s="263"/>
      <c r="N19" s="263"/>
      <c r="O19" s="263"/>
      <c r="P19" s="264"/>
    </row>
    <row r="20" spans="1:16" ht="16.5" customHeight="1" thickBot="1">
      <c r="A20" s="17" t="s">
        <v>365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567"/>
    </row>
    <row r="21" spans="1:16" ht="13.5" customHeight="1">
      <c r="A21" s="14" t="s">
        <v>366</v>
      </c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8"/>
    </row>
    <row r="22" spans="1:16" ht="13.5" customHeight="1">
      <c r="A22" s="15" t="s">
        <v>367</v>
      </c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4"/>
    </row>
    <row r="23" spans="1:16" ht="13.5" customHeight="1">
      <c r="A23" s="568">
        <v>844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60"/>
    </row>
    <row r="24" spans="1:16" ht="13.5" customHeight="1" thickBot="1">
      <c r="A24" s="15" t="s">
        <v>368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60"/>
    </row>
    <row r="25" spans="1:16" ht="16.5" customHeight="1" thickBot="1">
      <c r="A25" s="17" t="s">
        <v>48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1"/>
    </row>
    <row r="26" spans="1:16" ht="13.5" customHeight="1">
      <c r="A26" s="14" t="s">
        <v>358</v>
      </c>
      <c r="B26" s="582">
        <v>9680</v>
      </c>
      <c r="C26" s="582">
        <v>9680</v>
      </c>
      <c r="D26" s="582"/>
      <c r="E26" s="582"/>
      <c r="F26" s="582"/>
      <c r="G26" s="259"/>
      <c r="H26" s="259"/>
      <c r="I26" s="259"/>
      <c r="J26" s="259"/>
      <c r="K26" s="259"/>
      <c r="L26" s="259"/>
      <c r="M26" s="259"/>
      <c r="N26" s="259"/>
      <c r="O26" s="259"/>
      <c r="P26" s="260"/>
    </row>
    <row r="27" spans="1:16" ht="13.5" customHeight="1">
      <c r="A27" s="14" t="s">
        <v>49</v>
      </c>
      <c r="B27" s="582">
        <v>15600</v>
      </c>
      <c r="C27" s="582">
        <v>13567</v>
      </c>
      <c r="D27" s="582"/>
      <c r="E27" s="582"/>
      <c r="F27" s="582"/>
      <c r="G27" s="259"/>
      <c r="H27" s="259"/>
      <c r="I27" s="259"/>
      <c r="J27" s="259"/>
      <c r="K27" s="259"/>
      <c r="L27" s="259"/>
      <c r="M27" s="259"/>
      <c r="N27" s="259"/>
      <c r="O27" s="259"/>
      <c r="P27" s="260"/>
    </row>
    <row r="28" spans="1:16" ht="13.5" customHeight="1">
      <c r="A28" s="18" t="s">
        <v>50</v>
      </c>
      <c r="B28" s="583">
        <v>23105.86</v>
      </c>
      <c r="C28" s="583">
        <v>21105.86</v>
      </c>
      <c r="D28" s="583"/>
      <c r="E28" s="583"/>
      <c r="F28" s="583"/>
      <c r="G28" s="261"/>
      <c r="H28" s="261"/>
      <c r="I28" s="261"/>
      <c r="J28" s="261"/>
      <c r="K28" s="261"/>
      <c r="L28" s="261"/>
      <c r="M28" s="261"/>
      <c r="N28" s="261"/>
      <c r="O28" s="261"/>
      <c r="P28" s="260"/>
    </row>
    <row r="29" spans="1:16" ht="13.5" customHeight="1" thickBot="1">
      <c r="A29" s="15" t="s">
        <v>381</v>
      </c>
      <c r="B29" s="261">
        <v>28765</v>
      </c>
      <c r="C29" s="261">
        <v>26789</v>
      </c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0"/>
    </row>
    <row r="30" spans="1:16" ht="16.5" customHeight="1" thickBot="1">
      <c r="A30" s="17" t="s">
        <v>51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1"/>
    </row>
    <row r="31" spans="1:16" ht="13.5" customHeight="1">
      <c r="A31" s="14" t="s">
        <v>359</v>
      </c>
      <c r="B31" s="582">
        <v>8280.36</v>
      </c>
      <c r="C31" s="582">
        <v>8280.36</v>
      </c>
      <c r="D31" s="582"/>
      <c r="E31" s="582"/>
      <c r="F31" s="582"/>
      <c r="G31" s="259"/>
      <c r="H31" s="259"/>
      <c r="I31" s="259"/>
      <c r="J31" s="259"/>
      <c r="K31" s="259"/>
      <c r="L31" s="259"/>
      <c r="M31" s="259"/>
      <c r="N31" s="259"/>
      <c r="O31" s="259"/>
      <c r="P31" s="260"/>
    </row>
    <row r="32" spans="1:16" ht="13.5" customHeight="1">
      <c r="A32" s="14" t="s">
        <v>52</v>
      </c>
      <c r="B32" s="582">
        <v>9802.49</v>
      </c>
      <c r="C32" s="582">
        <v>9802.49</v>
      </c>
      <c r="D32" s="582"/>
      <c r="E32" s="582"/>
      <c r="F32" s="582"/>
      <c r="G32" s="259"/>
      <c r="H32" s="259"/>
      <c r="I32" s="259"/>
      <c r="J32" s="259"/>
      <c r="K32" s="259"/>
      <c r="L32" s="259"/>
      <c r="M32" s="259"/>
      <c r="N32" s="259"/>
      <c r="O32" s="259"/>
      <c r="P32" s="260"/>
    </row>
    <row r="33" spans="1:16" ht="13.5" customHeight="1">
      <c r="A33" s="14" t="s">
        <v>53</v>
      </c>
      <c r="B33" s="582">
        <v>13530</v>
      </c>
      <c r="C33" s="582">
        <v>13530</v>
      </c>
      <c r="D33" s="582"/>
      <c r="E33" s="582"/>
      <c r="F33" s="582"/>
      <c r="G33" s="259"/>
      <c r="H33" s="259"/>
      <c r="I33" s="259"/>
      <c r="J33" s="259"/>
      <c r="K33" s="259"/>
      <c r="L33" s="259"/>
      <c r="M33" s="259"/>
      <c r="N33" s="259"/>
      <c r="O33" s="259"/>
      <c r="P33" s="260"/>
    </row>
    <row r="34" spans="1:16" ht="13.5" customHeight="1">
      <c r="A34" s="14" t="s">
        <v>360</v>
      </c>
      <c r="B34" s="582">
        <v>16479.54</v>
      </c>
      <c r="C34" s="582">
        <v>10479.540000000001</v>
      </c>
      <c r="D34" s="582"/>
      <c r="E34" s="582"/>
      <c r="F34" s="582"/>
      <c r="G34" s="259"/>
      <c r="H34" s="259"/>
      <c r="I34" s="259"/>
      <c r="J34" s="259"/>
      <c r="K34" s="259"/>
      <c r="L34" s="259"/>
      <c r="M34" s="259"/>
      <c r="N34" s="259"/>
      <c r="O34" s="259"/>
      <c r="P34" s="260"/>
    </row>
    <row r="35" spans="1:16" ht="13.5" customHeight="1">
      <c r="A35" s="14" t="s">
        <v>54</v>
      </c>
      <c r="B35" s="582">
        <v>19843.95</v>
      </c>
      <c r="C35" s="582">
        <v>19843.95</v>
      </c>
      <c r="D35" s="582"/>
      <c r="E35" s="582"/>
      <c r="F35" s="582"/>
      <c r="G35" s="259"/>
      <c r="H35" s="259"/>
      <c r="I35" s="259"/>
      <c r="J35" s="259"/>
      <c r="K35" s="259"/>
      <c r="L35" s="259"/>
      <c r="M35" s="259"/>
      <c r="N35" s="259"/>
      <c r="O35" s="259"/>
      <c r="P35" s="260"/>
    </row>
    <row r="36" spans="1:16" ht="13.5" customHeight="1">
      <c r="A36" s="14" t="s">
        <v>11</v>
      </c>
      <c r="B36" s="583">
        <v>24285.45</v>
      </c>
      <c r="C36" s="583">
        <v>24285.45</v>
      </c>
      <c r="D36" s="583"/>
      <c r="E36" s="583"/>
      <c r="F36" s="583"/>
      <c r="G36" s="261"/>
      <c r="H36" s="261"/>
      <c r="I36" s="261"/>
      <c r="J36" s="261"/>
      <c r="K36" s="261"/>
      <c r="L36" s="261"/>
      <c r="M36" s="261"/>
      <c r="N36" s="261"/>
      <c r="O36" s="261"/>
      <c r="P36" s="260"/>
    </row>
    <row r="37" spans="1:16" ht="13.5" customHeight="1" thickBot="1">
      <c r="A37" s="14" t="s">
        <v>55</v>
      </c>
      <c r="B37" s="583">
        <v>28189.3</v>
      </c>
      <c r="C37" s="583">
        <v>28189.3</v>
      </c>
      <c r="D37" s="583"/>
      <c r="E37" s="583"/>
      <c r="F37" s="583"/>
      <c r="G37" s="261"/>
      <c r="H37" s="261"/>
      <c r="I37" s="261"/>
      <c r="J37" s="261"/>
      <c r="K37" s="261"/>
      <c r="L37" s="261"/>
      <c r="M37" s="261"/>
      <c r="N37" s="261"/>
      <c r="O37" s="261"/>
      <c r="P37" s="260"/>
    </row>
    <row r="38" spans="1:16" ht="16.5" customHeight="1" thickBot="1">
      <c r="A38" s="17" t="s">
        <v>56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1"/>
    </row>
    <row r="39" spans="1:16" ht="13.5" customHeight="1">
      <c r="A39" s="20" t="s">
        <v>57</v>
      </c>
      <c r="B39" s="583">
        <v>27913.74</v>
      </c>
      <c r="C39" s="583">
        <v>27913.74</v>
      </c>
      <c r="D39" s="583"/>
      <c r="E39" s="583"/>
      <c r="F39" s="583"/>
      <c r="G39" s="261"/>
      <c r="H39" s="261"/>
      <c r="I39" s="261"/>
      <c r="J39" s="261"/>
      <c r="K39" s="261"/>
      <c r="L39" s="261"/>
      <c r="M39" s="261"/>
      <c r="N39" s="261"/>
      <c r="O39" s="261"/>
      <c r="P39" s="260"/>
    </row>
    <row r="40" spans="1:16" ht="13.5" customHeight="1" thickBot="1">
      <c r="A40" s="21" t="s">
        <v>58</v>
      </c>
      <c r="B40" s="582">
        <v>32208.17</v>
      </c>
      <c r="C40" s="582">
        <v>32208.17</v>
      </c>
      <c r="D40" s="582"/>
      <c r="E40" s="582"/>
      <c r="F40" s="582"/>
      <c r="G40" s="259"/>
      <c r="H40" s="259"/>
      <c r="I40" s="259"/>
      <c r="J40" s="259"/>
      <c r="K40" s="259"/>
      <c r="L40" s="259"/>
      <c r="M40" s="259"/>
      <c r="N40" s="259"/>
      <c r="O40" s="259"/>
      <c r="P40" s="260"/>
    </row>
    <row r="41" spans="1:16" ht="16.5" customHeight="1" thickBot="1">
      <c r="A41" s="17" t="s">
        <v>59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1"/>
    </row>
    <row r="42" spans="1:16" ht="13.5" customHeight="1">
      <c r="A42" s="14" t="s">
        <v>1</v>
      </c>
      <c r="B42" s="259">
        <v>8118</v>
      </c>
      <c r="C42" s="259">
        <v>8118</v>
      </c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60"/>
    </row>
    <row r="43" spans="1:16" ht="13.5" customHeight="1">
      <c r="A43" s="14" t="s">
        <v>60</v>
      </c>
      <c r="B43" s="259">
        <v>9709.1299999999992</v>
      </c>
      <c r="C43" s="259">
        <v>9709.1299999999992</v>
      </c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60"/>
    </row>
    <row r="44" spans="1:16" ht="13.5" customHeight="1">
      <c r="A44" s="14" t="s">
        <v>3</v>
      </c>
      <c r="B44" s="261">
        <v>11726</v>
      </c>
      <c r="C44" s="261">
        <v>11726</v>
      </c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0"/>
    </row>
    <row r="45" spans="1:16" ht="13.5" customHeight="1">
      <c r="A45" s="14" t="s">
        <v>61</v>
      </c>
      <c r="B45" s="261">
        <v>15170.51</v>
      </c>
      <c r="C45" s="261">
        <v>15170.51</v>
      </c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0"/>
    </row>
    <row r="46" spans="1:16" ht="13.5" customHeight="1">
      <c r="A46" s="14" t="s">
        <v>62</v>
      </c>
      <c r="B46" s="261">
        <v>18671.400000000001</v>
      </c>
      <c r="C46" s="261">
        <v>18671.400000000001</v>
      </c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0"/>
    </row>
    <row r="47" spans="1:16" ht="13.5" customHeight="1">
      <c r="A47" s="14" t="s">
        <v>2</v>
      </c>
      <c r="B47" s="261">
        <v>20204.8</v>
      </c>
      <c r="C47" s="261">
        <v>19204.8</v>
      </c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0"/>
    </row>
    <row r="48" spans="1:16" ht="13.5" customHeight="1">
      <c r="A48" s="14" t="s">
        <v>63</v>
      </c>
      <c r="B48" s="259">
        <v>25642.959999999999</v>
      </c>
      <c r="C48" s="259">
        <v>25642.959999999999</v>
      </c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60"/>
    </row>
    <row r="49" spans="1:16" ht="13.5" customHeight="1">
      <c r="A49" s="588">
        <v>990</v>
      </c>
      <c r="B49" s="259">
        <v>36478</v>
      </c>
      <c r="C49" s="259">
        <v>36578</v>
      </c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60"/>
    </row>
    <row r="50" spans="1:16" ht="13.5" customHeight="1">
      <c r="A50" s="14" t="s">
        <v>64</v>
      </c>
      <c r="B50" s="259">
        <v>41963.97</v>
      </c>
      <c r="C50" s="259">
        <v>41963.97</v>
      </c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60"/>
    </row>
    <row r="51" spans="1:16" ht="13.5" customHeight="1">
      <c r="A51" s="14" t="s">
        <v>14</v>
      </c>
      <c r="B51" s="582">
        <v>95612</v>
      </c>
      <c r="C51" s="582">
        <v>95612</v>
      </c>
      <c r="D51" s="582"/>
      <c r="E51" s="582"/>
      <c r="F51" s="582"/>
      <c r="G51" s="582"/>
      <c r="H51" s="582"/>
      <c r="I51" s="582"/>
      <c r="J51" s="582"/>
      <c r="K51" s="582"/>
      <c r="L51" s="582"/>
      <c r="M51" s="582"/>
      <c r="N51" s="582"/>
      <c r="O51" s="582"/>
      <c r="P51" s="584"/>
    </row>
    <row r="52" spans="1:16" ht="13.5" customHeight="1" thickBot="1">
      <c r="A52" s="14" t="s">
        <v>380</v>
      </c>
      <c r="B52" s="265">
        <v>100000</v>
      </c>
      <c r="C52" s="265">
        <v>100000</v>
      </c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6"/>
    </row>
    <row r="53" spans="1:16" ht="16.5" customHeight="1" thickBot="1">
      <c r="A53" s="17" t="s">
        <v>398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1"/>
    </row>
    <row r="54" spans="1:16" ht="13.5" customHeight="1">
      <c r="A54" s="14" t="s">
        <v>399</v>
      </c>
      <c r="B54" s="259">
        <v>48560</v>
      </c>
      <c r="C54" s="259">
        <v>48560</v>
      </c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60"/>
    </row>
    <row r="55" spans="1:16" ht="13.5" customHeight="1">
      <c r="A55" s="14" t="s">
        <v>400</v>
      </c>
      <c r="B55" s="259">
        <v>55678</v>
      </c>
      <c r="C55" s="259">
        <v>55678</v>
      </c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60"/>
    </row>
    <row r="56" spans="1:16" ht="13.5" customHeight="1">
      <c r="A56" s="14" t="s">
        <v>401</v>
      </c>
      <c r="B56" s="261">
        <v>72345</v>
      </c>
      <c r="C56" s="261">
        <v>72345</v>
      </c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0"/>
    </row>
    <row r="57" spans="1:16" ht="13.5" customHeight="1">
      <c r="A57" s="14" t="s">
        <v>402</v>
      </c>
      <c r="B57" s="261">
        <v>104567</v>
      </c>
      <c r="C57" s="261">
        <v>104567</v>
      </c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0"/>
    </row>
    <row r="58" spans="1:16" ht="13.5" customHeight="1" thickBot="1">
      <c r="A58" s="14" t="s">
        <v>403</v>
      </c>
      <c r="B58" s="261">
        <v>132789</v>
      </c>
      <c r="C58" s="261">
        <v>132789</v>
      </c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0"/>
    </row>
    <row r="59" spans="1:16" ht="16.5" customHeight="1" thickBot="1">
      <c r="A59" s="17" t="s">
        <v>145</v>
      </c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1"/>
    </row>
    <row r="60" spans="1:16" ht="13.5" customHeight="1">
      <c r="A60" s="21" t="s">
        <v>138</v>
      </c>
      <c r="B60" s="267">
        <v>7515.24</v>
      </c>
      <c r="C60" s="267">
        <v>7515.24</v>
      </c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8"/>
    </row>
    <row r="61" spans="1:16" ht="13.5" customHeight="1">
      <c r="A61" s="22" t="s">
        <v>135</v>
      </c>
      <c r="B61" s="269">
        <v>9662.4500000000007</v>
      </c>
      <c r="C61" s="269">
        <v>9662.4500000000007</v>
      </c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70"/>
    </row>
    <row r="62" spans="1:16" ht="13.5" customHeight="1" thickBot="1">
      <c r="A62" s="22" t="s">
        <v>136</v>
      </c>
      <c r="B62" s="263">
        <v>12883.27</v>
      </c>
      <c r="C62" s="263">
        <v>12883.27</v>
      </c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4"/>
    </row>
    <row r="63" spans="1:16" ht="16.5" customHeight="1" thickBot="1">
      <c r="A63" s="17" t="s">
        <v>337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1"/>
    </row>
    <row r="64" spans="1:16" ht="13.5" customHeight="1">
      <c r="A64" s="21" t="s">
        <v>338</v>
      </c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8"/>
    </row>
    <row r="65" spans="1:16" ht="13.5" customHeight="1">
      <c r="A65" s="22" t="s">
        <v>339</v>
      </c>
      <c r="B65" s="269"/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70"/>
    </row>
    <row r="66" spans="1:16" ht="13.5" customHeight="1" thickBot="1">
      <c r="A66" s="22" t="s">
        <v>340</v>
      </c>
      <c r="B66" s="263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4"/>
    </row>
    <row r="67" spans="1:16" ht="16.5" customHeight="1" thickBot="1">
      <c r="A67" s="17" t="s">
        <v>341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1"/>
    </row>
    <row r="68" spans="1:16" ht="13.5" customHeight="1">
      <c r="A68" s="21" t="s">
        <v>342</v>
      </c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8"/>
    </row>
    <row r="69" spans="1:16" ht="13.5" customHeight="1">
      <c r="A69" s="22" t="s">
        <v>343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70"/>
    </row>
    <row r="70" spans="1:16" ht="13.5" customHeight="1" thickBot="1">
      <c r="A70" s="22" t="s">
        <v>344</v>
      </c>
      <c r="B70" s="263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4"/>
    </row>
    <row r="71" spans="1:16" ht="16.5" customHeight="1" thickBot="1">
      <c r="A71" s="17" t="s">
        <v>68</v>
      </c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1"/>
    </row>
    <row r="72" spans="1:16" ht="13.5" customHeight="1">
      <c r="A72" s="23" t="s">
        <v>69</v>
      </c>
      <c r="B72" s="271">
        <v>14432</v>
      </c>
      <c r="C72" s="271">
        <v>14432</v>
      </c>
      <c r="D72" s="271"/>
      <c r="E72" s="271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8"/>
    </row>
    <row r="73" spans="1:16" ht="13.5" customHeight="1">
      <c r="A73" s="23" t="s">
        <v>361</v>
      </c>
      <c r="B73" s="271">
        <v>16687</v>
      </c>
      <c r="C73" s="271">
        <v>16687</v>
      </c>
      <c r="D73" s="271"/>
      <c r="E73" s="271"/>
      <c r="F73" s="550"/>
      <c r="G73" s="550"/>
      <c r="H73" s="550"/>
      <c r="I73" s="550"/>
      <c r="J73" s="550"/>
      <c r="K73" s="550"/>
      <c r="L73" s="550"/>
      <c r="M73" s="550"/>
      <c r="N73" s="550"/>
      <c r="O73" s="550"/>
      <c r="P73" s="551"/>
    </row>
    <row r="74" spans="1:16" ht="13.5" customHeight="1">
      <c r="A74" s="23" t="s">
        <v>8</v>
      </c>
      <c r="B74" s="271">
        <v>5412</v>
      </c>
      <c r="C74" s="271">
        <v>5412</v>
      </c>
      <c r="D74" s="271"/>
      <c r="E74" s="271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3"/>
    </row>
    <row r="75" spans="1:16" ht="13.5" customHeight="1">
      <c r="A75" s="23" t="s">
        <v>378</v>
      </c>
      <c r="B75" s="274">
        <v>5772.8</v>
      </c>
      <c r="C75" s="274">
        <v>5772.8</v>
      </c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5"/>
    </row>
    <row r="76" spans="1:16" ht="13.5" customHeight="1">
      <c r="A76" s="23" t="s">
        <v>7</v>
      </c>
      <c r="B76" s="274">
        <v>6765</v>
      </c>
      <c r="C76" s="274">
        <v>6765</v>
      </c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5"/>
    </row>
    <row r="77" spans="1:16" s="73" customFormat="1" ht="13.5" customHeight="1">
      <c r="A77" s="23" t="s">
        <v>379</v>
      </c>
      <c r="B77" s="274">
        <v>7892.5</v>
      </c>
      <c r="C77" s="274">
        <v>7892.5</v>
      </c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5"/>
    </row>
    <row r="78" spans="1:16" s="73" customFormat="1" ht="13.5" customHeight="1">
      <c r="A78" s="75" t="s">
        <v>70</v>
      </c>
      <c r="B78" s="274">
        <v>10043.77</v>
      </c>
      <c r="C78" s="274">
        <v>10043.77</v>
      </c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5"/>
    </row>
    <row r="79" spans="1:16" s="73" customFormat="1" ht="13.5" customHeight="1">
      <c r="A79" s="76" t="s">
        <v>71</v>
      </c>
      <c r="B79" s="274">
        <v>3567.41</v>
      </c>
      <c r="C79" s="274">
        <v>3567.41</v>
      </c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5"/>
    </row>
    <row r="80" spans="1:16" s="73" customFormat="1" ht="13.5" customHeight="1">
      <c r="A80" s="14" t="s">
        <v>4</v>
      </c>
      <c r="B80" s="274">
        <v>9922</v>
      </c>
      <c r="C80" s="274">
        <v>9922</v>
      </c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5"/>
    </row>
    <row r="81" spans="1:18" s="73" customFormat="1" ht="13.5" customHeight="1">
      <c r="A81" s="14" t="s">
        <v>72</v>
      </c>
      <c r="B81" s="274">
        <v>1757.01</v>
      </c>
      <c r="C81" s="274">
        <v>1757.01</v>
      </c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5"/>
    </row>
    <row r="82" spans="1:18" s="73" customFormat="1" ht="13.5" customHeight="1">
      <c r="A82" s="14" t="s">
        <v>244</v>
      </c>
      <c r="B82" s="274">
        <v>1122.04</v>
      </c>
      <c r="C82" s="274">
        <v>1122.04</v>
      </c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5"/>
    </row>
    <row r="83" spans="1:18" s="73" customFormat="1" ht="13.5" customHeight="1">
      <c r="A83" s="14" t="s">
        <v>73</v>
      </c>
      <c r="B83" s="274">
        <v>35481.07</v>
      </c>
      <c r="C83" s="274">
        <v>35481.07</v>
      </c>
      <c r="D83" s="274"/>
      <c r="E83" s="274"/>
      <c r="F83" s="274"/>
      <c r="G83" s="274"/>
      <c r="H83" s="274"/>
      <c r="I83" s="274"/>
      <c r="J83" s="274"/>
      <c r="K83" s="274"/>
      <c r="L83" s="274"/>
      <c r="M83" s="274"/>
      <c r="N83" s="274"/>
      <c r="O83" s="274"/>
      <c r="P83" s="275"/>
    </row>
    <row r="84" spans="1:18" ht="13.5" customHeight="1">
      <c r="A84" s="14" t="s">
        <v>24</v>
      </c>
      <c r="B84" s="274">
        <v>28365.15</v>
      </c>
      <c r="C84" s="274">
        <v>28365.15</v>
      </c>
      <c r="D84" s="274"/>
      <c r="E84" s="274"/>
      <c r="F84" s="274"/>
      <c r="G84" s="274"/>
      <c r="H84" s="274"/>
      <c r="I84" s="274"/>
      <c r="J84" s="274"/>
      <c r="K84" s="274"/>
      <c r="L84" s="274"/>
      <c r="M84" s="274"/>
      <c r="N84" s="274"/>
      <c r="O84" s="274"/>
      <c r="P84" s="275"/>
      <c r="Q84" s="1"/>
      <c r="R84" s="1"/>
    </row>
    <row r="85" spans="1:18" ht="13.5" customHeight="1">
      <c r="A85" s="14" t="s">
        <v>74</v>
      </c>
      <c r="B85" s="274">
        <v>38649.800000000003</v>
      </c>
      <c r="C85" s="274">
        <v>38649.800000000003</v>
      </c>
      <c r="D85" s="274"/>
      <c r="E85" s="274"/>
      <c r="F85" s="274"/>
      <c r="G85" s="274"/>
      <c r="H85" s="274"/>
      <c r="I85" s="274"/>
      <c r="J85" s="274"/>
      <c r="K85" s="274"/>
      <c r="L85" s="274"/>
      <c r="M85" s="274"/>
      <c r="N85" s="274"/>
      <c r="O85" s="274"/>
      <c r="P85" s="275"/>
    </row>
    <row r="86" spans="1:18" ht="13.5" customHeight="1">
      <c r="A86" s="14" t="s">
        <v>75</v>
      </c>
      <c r="B86" s="274">
        <v>2147.21</v>
      </c>
      <c r="C86" s="274">
        <v>2147.21</v>
      </c>
      <c r="D86" s="274"/>
      <c r="E86" s="274"/>
      <c r="F86" s="274"/>
      <c r="G86" s="274"/>
      <c r="H86" s="274"/>
      <c r="I86" s="274"/>
      <c r="J86" s="274"/>
      <c r="K86" s="274"/>
      <c r="L86" s="274"/>
      <c r="M86" s="274"/>
      <c r="N86" s="274"/>
      <c r="O86" s="274"/>
      <c r="P86" s="275"/>
    </row>
    <row r="87" spans="1:18" ht="13.5" customHeight="1">
      <c r="A87" s="14" t="s">
        <v>252</v>
      </c>
      <c r="B87" s="274">
        <v>2147.21</v>
      </c>
      <c r="C87" s="274">
        <v>2147.21</v>
      </c>
      <c r="D87" s="274"/>
      <c r="E87" s="274"/>
      <c r="F87" s="274"/>
      <c r="G87" s="274"/>
      <c r="H87" s="274"/>
      <c r="I87" s="274"/>
      <c r="J87" s="274"/>
      <c r="K87" s="274"/>
      <c r="L87" s="274"/>
      <c r="M87" s="274"/>
      <c r="N87" s="274"/>
      <c r="O87" s="274"/>
      <c r="P87" s="275"/>
    </row>
    <row r="88" spans="1:18" ht="13.5" customHeight="1">
      <c r="A88" s="14" t="s">
        <v>253</v>
      </c>
      <c r="B88" s="274">
        <v>1120.28</v>
      </c>
      <c r="C88" s="274">
        <v>1120.28</v>
      </c>
      <c r="D88" s="274"/>
      <c r="E88" s="274"/>
      <c r="F88" s="274"/>
      <c r="G88" s="274"/>
      <c r="H88" s="274"/>
      <c r="I88" s="274"/>
      <c r="J88" s="274"/>
      <c r="K88" s="274"/>
      <c r="L88" s="274"/>
      <c r="M88" s="274"/>
      <c r="N88" s="274"/>
      <c r="O88" s="274"/>
      <c r="P88" s="275"/>
    </row>
    <row r="89" spans="1:18" ht="13.5" customHeight="1">
      <c r="A89" s="14" t="s">
        <v>362</v>
      </c>
      <c r="B89" s="274">
        <v>19844</v>
      </c>
      <c r="C89" s="274">
        <v>19844</v>
      </c>
      <c r="D89" s="274"/>
      <c r="E89" s="274"/>
      <c r="F89" s="274"/>
      <c r="G89" s="274"/>
      <c r="H89" s="274"/>
      <c r="I89" s="274"/>
      <c r="J89" s="274"/>
      <c r="K89" s="274"/>
      <c r="L89" s="274"/>
      <c r="M89" s="274"/>
      <c r="N89" s="274"/>
      <c r="O89" s="274"/>
      <c r="P89" s="275"/>
    </row>
    <row r="90" spans="1:18" ht="13.5" customHeight="1">
      <c r="A90" s="14" t="s">
        <v>363</v>
      </c>
      <c r="B90" s="274">
        <v>22550</v>
      </c>
      <c r="C90" s="274">
        <v>22550</v>
      </c>
      <c r="D90" s="274"/>
      <c r="E90" s="274"/>
      <c r="F90" s="274"/>
      <c r="G90" s="274"/>
      <c r="H90" s="274"/>
      <c r="I90" s="274"/>
      <c r="J90" s="274"/>
      <c r="K90" s="274"/>
      <c r="L90" s="274"/>
      <c r="M90" s="274"/>
      <c r="N90" s="274"/>
      <c r="O90" s="274"/>
      <c r="P90" s="275"/>
    </row>
    <row r="91" spans="1:18" ht="13.5" customHeight="1">
      <c r="A91" s="14" t="s">
        <v>335</v>
      </c>
      <c r="B91" s="274">
        <v>27060</v>
      </c>
      <c r="C91" s="274">
        <v>27060</v>
      </c>
      <c r="D91" s="274"/>
      <c r="E91" s="274"/>
      <c r="F91" s="274"/>
      <c r="G91" s="274"/>
      <c r="H91" s="274"/>
      <c r="I91" s="274"/>
      <c r="J91" s="274"/>
      <c r="K91" s="274"/>
      <c r="L91" s="274"/>
      <c r="M91" s="274"/>
      <c r="N91" s="274"/>
      <c r="O91" s="274"/>
      <c r="P91" s="275"/>
    </row>
    <row r="92" spans="1:18" ht="13.5" customHeight="1" thickBot="1">
      <c r="A92" s="66" t="s">
        <v>336</v>
      </c>
      <c r="B92" s="274">
        <v>47520</v>
      </c>
      <c r="C92" s="274">
        <v>47520</v>
      </c>
      <c r="D92" s="274"/>
      <c r="E92" s="274"/>
      <c r="F92" s="274"/>
      <c r="G92" s="274"/>
      <c r="H92" s="274"/>
      <c r="I92" s="274"/>
      <c r="J92" s="274"/>
      <c r="K92" s="274"/>
      <c r="L92" s="274"/>
      <c r="M92" s="274"/>
      <c r="N92" s="274"/>
      <c r="O92" s="274"/>
      <c r="P92" s="275"/>
    </row>
    <row r="93" spans="1:18" ht="16.5" customHeight="1" thickBot="1">
      <c r="A93" s="17" t="s">
        <v>65</v>
      </c>
      <c r="B93" s="190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1"/>
    </row>
    <row r="94" spans="1:18" ht="13.5" customHeight="1">
      <c r="A94" s="66" t="s">
        <v>345</v>
      </c>
      <c r="B94" s="274">
        <v>10808.67</v>
      </c>
      <c r="C94" s="274">
        <v>10808.67</v>
      </c>
      <c r="D94" s="274"/>
      <c r="E94" s="274"/>
      <c r="F94" s="274"/>
      <c r="G94" s="274"/>
      <c r="H94" s="274"/>
      <c r="I94" s="274"/>
      <c r="J94" s="274"/>
      <c r="K94" s="274"/>
      <c r="L94" s="274"/>
      <c r="M94" s="274"/>
      <c r="N94" s="274"/>
      <c r="O94" s="274"/>
      <c r="P94" s="275"/>
    </row>
    <row r="95" spans="1:18" ht="13.5" customHeight="1">
      <c r="A95" s="66" t="s">
        <v>10</v>
      </c>
      <c r="B95" s="274">
        <v>12177</v>
      </c>
      <c r="C95" s="274">
        <v>12177</v>
      </c>
      <c r="D95" s="274"/>
      <c r="E95" s="274"/>
      <c r="F95" s="274"/>
      <c r="G95" s="274"/>
      <c r="H95" s="274"/>
      <c r="I95" s="274"/>
      <c r="J95" s="274"/>
      <c r="K95" s="274"/>
      <c r="L95" s="274"/>
      <c r="M95" s="274"/>
      <c r="N95" s="274"/>
      <c r="O95" s="274"/>
      <c r="P95" s="275"/>
    </row>
    <row r="96" spans="1:18" ht="13.5" customHeight="1">
      <c r="A96" s="66" t="s">
        <v>357</v>
      </c>
      <c r="B96" s="274">
        <v>13450.2</v>
      </c>
      <c r="C96" s="468">
        <v>13450.2</v>
      </c>
      <c r="D96" s="274"/>
      <c r="E96" s="274"/>
      <c r="F96" s="274"/>
      <c r="G96" s="274"/>
      <c r="H96" s="274"/>
      <c r="I96" s="274"/>
      <c r="J96" s="274"/>
      <c r="K96" s="274"/>
      <c r="L96" s="274"/>
      <c r="M96" s="274"/>
      <c r="N96" s="274"/>
      <c r="O96" s="274"/>
      <c r="P96" s="275"/>
    </row>
    <row r="97" spans="1:16" ht="13.5" customHeight="1">
      <c r="A97" s="66" t="s">
        <v>346</v>
      </c>
      <c r="B97" s="274">
        <v>18942</v>
      </c>
      <c r="C97" s="468">
        <v>18942</v>
      </c>
      <c r="D97" s="274"/>
      <c r="E97" s="274"/>
      <c r="F97" s="274"/>
      <c r="G97" s="274"/>
      <c r="H97" s="274"/>
      <c r="I97" s="274"/>
      <c r="J97" s="274"/>
      <c r="K97" s="274"/>
      <c r="L97" s="274"/>
      <c r="M97" s="274"/>
      <c r="N97" s="274"/>
      <c r="O97" s="274"/>
      <c r="P97" s="275"/>
    </row>
    <row r="98" spans="1:16" ht="13.5" customHeight="1">
      <c r="A98" s="66" t="s">
        <v>66</v>
      </c>
      <c r="B98" s="274">
        <v>16944.97</v>
      </c>
      <c r="C98" s="274">
        <v>16944.97</v>
      </c>
      <c r="D98" s="274"/>
      <c r="E98" s="274"/>
      <c r="F98" s="274"/>
      <c r="G98" s="274"/>
      <c r="H98" s="274"/>
      <c r="I98" s="274"/>
      <c r="J98" s="274"/>
      <c r="K98" s="274"/>
      <c r="L98" s="274"/>
      <c r="M98" s="274"/>
      <c r="N98" s="274"/>
      <c r="O98" s="274"/>
      <c r="P98" s="275"/>
    </row>
    <row r="99" spans="1:16" ht="13.5" customHeight="1">
      <c r="A99" s="66" t="s">
        <v>12</v>
      </c>
      <c r="B99" s="274">
        <v>23056.92</v>
      </c>
      <c r="C99" s="274">
        <v>23056.92</v>
      </c>
      <c r="D99" s="274"/>
      <c r="E99" s="274"/>
      <c r="F99" s="274"/>
      <c r="G99" s="274"/>
      <c r="H99" s="274"/>
      <c r="I99" s="274"/>
      <c r="J99" s="274"/>
      <c r="K99" s="274"/>
      <c r="L99" s="274"/>
      <c r="M99" s="274"/>
      <c r="N99" s="274"/>
      <c r="O99" s="274"/>
      <c r="P99" s="275"/>
    </row>
    <row r="100" spans="1:16" ht="13.5" customHeight="1">
      <c r="A100" s="66" t="s">
        <v>67</v>
      </c>
      <c r="B100" s="274">
        <v>30465.95</v>
      </c>
      <c r="C100" s="274">
        <v>30465.95</v>
      </c>
      <c r="D100" s="274"/>
      <c r="E100" s="274"/>
      <c r="F100" s="274"/>
      <c r="G100" s="274"/>
      <c r="H100" s="274"/>
      <c r="I100" s="274"/>
      <c r="J100" s="274"/>
      <c r="K100" s="274"/>
      <c r="L100" s="274"/>
      <c r="M100" s="274"/>
      <c r="N100" s="274"/>
      <c r="O100" s="274"/>
      <c r="P100" s="275"/>
    </row>
    <row r="101" spans="1:16" ht="13.5" customHeight="1">
      <c r="A101" s="66" t="s">
        <v>347</v>
      </c>
      <c r="B101" s="274">
        <v>49673.14</v>
      </c>
      <c r="C101" s="274">
        <v>49673.14</v>
      </c>
      <c r="D101" s="274"/>
      <c r="E101" s="274"/>
      <c r="F101" s="274"/>
      <c r="G101" s="274"/>
      <c r="H101" s="274"/>
      <c r="I101" s="274"/>
      <c r="J101" s="274"/>
      <c r="K101" s="274"/>
      <c r="L101" s="274"/>
      <c r="M101" s="274"/>
      <c r="N101" s="274"/>
      <c r="O101" s="274"/>
      <c r="P101" s="275"/>
    </row>
    <row r="102" spans="1:16" ht="13.5" customHeight="1">
      <c r="A102" s="66" t="s">
        <v>13</v>
      </c>
      <c r="B102" s="274">
        <v>77718.12</v>
      </c>
      <c r="C102" s="274">
        <v>77718.12</v>
      </c>
      <c r="D102" s="274"/>
      <c r="E102" s="274"/>
      <c r="F102" s="274"/>
      <c r="G102" s="274"/>
      <c r="H102" s="274"/>
      <c r="I102" s="274"/>
      <c r="J102" s="274"/>
      <c r="K102" s="274"/>
      <c r="L102" s="274"/>
      <c r="M102" s="274"/>
      <c r="N102" s="274"/>
      <c r="O102" s="274"/>
      <c r="P102" s="275"/>
    </row>
    <row r="103" spans="1:16" ht="13.5" customHeight="1">
      <c r="A103" s="66" t="s">
        <v>382</v>
      </c>
      <c r="B103" s="274">
        <v>82456</v>
      </c>
      <c r="C103" s="274">
        <v>80645</v>
      </c>
      <c r="D103" s="274"/>
      <c r="E103" s="274"/>
      <c r="F103" s="274"/>
      <c r="G103" s="274"/>
      <c r="H103" s="274"/>
      <c r="I103" s="274"/>
      <c r="J103" s="274"/>
      <c r="K103" s="274"/>
      <c r="L103" s="274"/>
      <c r="M103" s="274"/>
      <c r="N103" s="274"/>
      <c r="O103" s="274"/>
      <c r="P103" s="275"/>
    </row>
    <row r="104" spans="1:16" ht="13.5" customHeight="1">
      <c r="A104" s="66" t="s">
        <v>76</v>
      </c>
      <c r="B104" s="274">
        <v>13443.41</v>
      </c>
      <c r="C104" s="274">
        <v>13443.41</v>
      </c>
      <c r="D104" s="274"/>
      <c r="E104" s="274"/>
      <c r="F104" s="274"/>
      <c r="G104" s="274"/>
      <c r="H104" s="274"/>
      <c r="I104" s="274"/>
      <c r="J104" s="274"/>
      <c r="K104" s="274"/>
      <c r="L104" s="274"/>
      <c r="M104" s="274"/>
      <c r="N104" s="274"/>
      <c r="O104" s="274"/>
      <c r="P104" s="275"/>
    </row>
    <row r="105" spans="1:16" ht="13.5" customHeight="1">
      <c r="A105" s="66" t="s">
        <v>77</v>
      </c>
      <c r="B105" s="274">
        <v>17924.54</v>
      </c>
      <c r="C105" s="274">
        <v>17924.54</v>
      </c>
      <c r="D105" s="274"/>
      <c r="E105" s="274"/>
      <c r="F105" s="274"/>
      <c r="G105" s="274"/>
      <c r="H105" s="274"/>
      <c r="I105" s="274"/>
      <c r="J105" s="274"/>
      <c r="K105" s="274"/>
      <c r="L105" s="274"/>
      <c r="M105" s="274"/>
      <c r="N105" s="274"/>
      <c r="O105" s="274"/>
      <c r="P105" s="275"/>
    </row>
    <row r="106" spans="1:16" ht="13.5" customHeight="1">
      <c r="A106" s="66" t="s">
        <v>348</v>
      </c>
      <c r="B106" s="274">
        <v>29794.86</v>
      </c>
      <c r="C106" s="274">
        <v>29794.86</v>
      </c>
      <c r="D106" s="274"/>
      <c r="E106" s="274"/>
      <c r="F106" s="274"/>
      <c r="G106" s="274"/>
      <c r="H106" s="274"/>
      <c r="I106" s="274"/>
      <c r="J106" s="274"/>
      <c r="K106" s="274"/>
      <c r="L106" s="274"/>
      <c r="M106" s="274"/>
      <c r="N106" s="274"/>
      <c r="O106" s="274"/>
      <c r="P106" s="275"/>
    </row>
    <row r="107" spans="1:16" ht="13.5" customHeight="1">
      <c r="A107" s="66" t="s">
        <v>349</v>
      </c>
      <c r="B107" s="274">
        <v>48708</v>
      </c>
      <c r="C107" s="274">
        <v>48708</v>
      </c>
      <c r="D107" s="274"/>
      <c r="E107" s="274"/>
      <c r="F107" s="274"/>
      <c r="G107" s="274"/>
      <c r="H107" s="274"/>
      <c r="I107" s="274"/>
      <c r="J107" s="274"/>
      <c r="K107" s="274"/>
      <c r="L107" s="274"/>
      <c r="M107" s="274"/>
      <c r="N107" s="274"/>
      <c r="O107" s="274"/>
      <c r="P107" s="275"/>
    </row>
    <row r="108" spans="1:16" ht="13.5" customHeight="1" thickBot="1">
      <c r="A108" s="66" t="s">
        <v>9</v>
      </c>
      <c r="B108" s="468">
        <v>9922</v>
      </c>
      <c r="C108" s="263">
        <v>9922</v>
      </c>
      <c r="D108" s="263"/>
      <c r="E108" s="263"/>
      <c r="F108" s="263"/>
      <c r="G108" s="263"/>
      <c r="H108" s="263"/>
      <c r="I108" s="263"/>
      <c r="J108" s="263"/>
      <c r="K108" s="263"/>
      <c r="L108" s="263"/>
      <c r="M108" s="263"/>
      <c r="N108" s="263"/>
      <c r="O108" s="263"/>
      <c r="P108" s="264"/>
    </row>
    <row r="109" spans="1:16" ht="13.5" customHeight="1">
      <c r="A109" s="24"/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3"/>
    </row>
    <row r="110" spans="1:16" ht="13.5" customHeight="1">
      <c r="A110" s="26" t="s">
        <v>79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8"/>
    </row>
    <row r="111" spans="1:16">
      <c r="A111" s="77" t="s">
        <v>186</v>
      </c>
      <c r="B111" s="405" t="s">
        <v>410</v>
      </c>
      <c r="C111" s="405" t="s">
        <v>410</v>
      </c>
      <c r="D111" s="405"/>
      <c r="E111" s="405"/>
      <c r="F111" s="405"/>
      <c r="G111" s="277"/>
      <c r="H111" s="277"/>
      <c r="I111" s="277"/>
      <c r="J111" s="277"/>
      <c r="K111" s="277"/>
      <c r="L111" s="277"/>
      <c r="M111" s="277"/>
      <c r="N111" s="277"/>
      <c r="O111" s="277"/>
      <c r="P111" s="278"/>
    </row>
    <row r="112" spans="1:16" ht="48">
      <c r="A112" s="77" t="s">
        <v>185</v>
      </c>
      <c r="B112" s="241" t="s">
        <v>404</v>
      </c>
      <c r="C112" s="241" t="s">
        <v>404</v>
      </c>
      <c r="D112" s="241" t="s">
        <v>404</v>
      </c>
      <c r="E112" s="241" t="s">
        <v>404</v>
      </c>
      <c r="F112" s="241" t="s">
        <v>404</v>
      </c>
      <c r="G112" s="241" t="s">
        <v>404</v>
      </c>
      <c r="H112" s="241" t="s">
        <v>404</v>
      </c>
      <c r="I112" s="241" t="s">
        <v>404</v>
      </c>
      <c r="J112" s="241" t="s">
        <v>404</v>
      </c>
      <c r="K112" s="241" t="s">
        <v>404</v>
      </c>
      <c r="L112" s="241" t="s">
        <v>404</v>
      </c>
      <c r="M112" s="241" t="s">
        <v>404</v>
      </c>
      <c r="N112" s="241" t="s">
        <v>404</v>
      </c>
      <c r="O112" s="241" t="s">
        <v>404</v>
      </c>
      <c r="P112" s="573" t="s">
        <v>404</v>
      </c>
    </row>
    <row r="113" spans="1:16">
      <c r="A113" s="77" t="s">
        <v>187</v>
      </c>
      <c r="B113" s="276"/>
      <c r="C113" s="276"/>
      <c r="D113" s="276"/>
      <c r="E113" s="276"/>
      <c r="F113" s="277"/>
      <c r="G113" s="277"/>
      <c r="H113" s="277"/>
      <c r="I113" s="277"/>
      <c r="J113" s="277"/>
      <c r="K113" s="277"/>
      <c r="L113" s="277"/>
      <c r="M113" s="277"/>
      <c r="N113" s="277"/>
      <c r="O113" s="277"/>
      <c r="P113" s="278"/>
    </row>
    <row r="114" spans="1:16" ht="13.5" thickBot="1">
      <c r="A114" s="86" t="s">
        <v>188</v>
      </c>
      <c r="B114" s="279"/>
      <c r="C114" s="279"/>
      <c r="D114" s="279"/>
      <c r="E114" s="279"/>
      <c r="F114" s="279"/>
      <c r="G114" s="280"/>
      <c r="H114" s="280"/>
      <c r="I114" s="280"/>
      <c r="J114" s="280"/>
      <c r="K114" s="280"/>
      <c r="L114" s="280"/>
      <c r="M114" s="280"/>
      <c r="N114" s="280"/>
      <c r="O114" s="280"/>
      <c r="P114" s="262"/>
    </row>
    <row r="115" spans="1:16" ht="13.5" customHeight="1">
      <c r="A115" s="491"/>
      <c r="B115" s="156"/>
      <c r="C115" s="156"/>
      <c r="D115" s="157"/>
      <c r="E115" s="157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557"/>
    </row>
    <row r="116" spans="1:16" ht="16.5" customHeight="1" thickBot="1">
      <c r="A116" s="100"/>
      <c r="B116" s="35"/>
      <c r="C116" s="35"/>
      <c r="D116" s="35"/>
      <c r="E116" s="558"/>
      <c r="F116" s="558"/>
      <c r="G116" s="558"/>
      <c r="H116" s="558"/>
      <c r="I116" s="558"/>
      <c r="J116" s="558"/>
      <c r="K116" s="558"/>
      <c r="L116" s="558"/>
      <c r="M116" s="558"/>
      <c r="N116" s="558"/>
      <c r="O116" s="558"/>
      <c r="P116" s="559"/>
    </row>
    <row r="117" spans="1:16" ht="27" customHeight="1" thickBot="1">
      <c r="A117" s="7" t="s">
        <v>355</v>
      </c>
      <c r="B117" s="74"/>
      <c r="C117" s="74"/>
      <c r="D117" s="74"/>
      <c r="E117" s="194"/>
      <c r="F117" s="194"/>
      <c r="G117" s="194"/>
      <c r="H117" s="194"/>
      <c r="I117" s="194"/>
      <c r="J117" s="194"/>
      <c r="K117" s="194"/>
      <c r="L117" s="8"/>
      <c r="M117" s="8"/>
      <c r="N117" s="195"/>
      <c r="O117" s="8"/>
      <c r="P117" s="9"/>
    </row>
    <row r="118" spans="1:16" ht="13.5" customHeight="1">
      <c r="A118" s="602" t="s">
        <v>80</v>
      </c>
      <c r="B118" s="84" t="s">
        <v>259</v>
      </c>
      <c r="C118" s="84" t="s">
        <v>260</v>
      </c>
      <c r="D118" s="84" t="s">
        <v>261</v>
      </c>
      <c r="E118" s="84" t="s">
        <v>262</v>
      </c>
      <c r="F118" s="84" t="s">
        <v>263</v>
      </c>
      <c r="G118" s="84" t="s">
        <v>264</v>
      </c>
      <c r="H118" s="84" t="s">
        <v>265</v>
      </c>
      <c r="I118" s="84" t="s">
        <v>266</v>
      </c>
      <c r="J118" s="84" t="s">
        <v>267</v>
      </c>
      <c r="K118" s="84" t="s">
        <v>268</v>
      </c>
      <c r="L118" s="84" t="s">
        <v>269</v>
      </c>
      <c r="M118" s="84" t="s">
        <v>270</v>
      </c>
      <c r="N118" s="84" t="s">
        <v>271</v>
      </c>
      <c r="O118" s="84" t="s">
        <v>272</v>
      </c>
      <c r="P118" s="85" t="s">
        <v>273</v>
      </c>
    </row>
    <row r="119" spans="1:16" ht="16.5" customHeight="1" thickBot="1">
      <c r="A119" s="602"/>
      <c r="B119" s="88" t="str">
        <f t="shared" ref="B119:P119" si="1">IF(ISBLANK(VLOOKUP(B118,RegionNames,2,FALSE)),"",VLOOKUP(B118,RegionNames,2,FALSE))</f>
        <v>WA ARO</v>
      </c>
      <c r="C119" s="88" t="str">
        <f t="shared" si="1"/>
        <v>WA LOM - site costs</v>
      </c>
      <c r="D119" s="88" t="str">
        <f t="shared" si="1"/>
        <v/>
      </c>
      <c r="E119" s="88" t="str">
        <f t="shared" si="1"/>
        <v/>
      </c>
      <c r="F119" s="88" t="str">
        <f t="shared" si="1"/>
        <v/>
      </c>
      <c r="G119" s="88" t="str">
        <f t="shared" si="1"/>
        <v/>
      </c>
      <c r="H119" s="88" t="str">
        <f t="shared" si="1"/>
        <v/>
      </c>
      <c r="I119" s="88" t="str">
        <f t="shared" si="1"/>
        <v/>
      </c>
      <c r="J119" s="88" t="str">
        <f t="shared" si="1"/>
        <v/>
      </c>
      <c r="K119" s="88" t="str">
        <f t="shared" si="1"/>
        <v/>
      </c>
      <c r="L119" s="88" t="str">
        <f t="shared" si="1"/>
        <v/>
      </c>
      <c r="M119" s="88" t="str">
        <f t="shared" si="1"/>
        <v/>
      </c>
      <c r="N119" s="88" t="str">
        <f t="shared" si="1"/>
        <v/>
      </c>
      <c r="O119" s="88" t="str">
        <f t="shared" si="1"/>
        <v/>
      </c>
      <c r="P119" s="560" t="str">
        <f t="shared" si="1"/>
        <v/>
      </c>
    </row>
    <row r="120" spans="1:16" ht="16.5" customHeight="1" thickBot="1">
      <c r="A120" s="17" t="s">
        <v>41</v>
      </c>
      <c r="B120" s="64"/>
      <c r="C120" s="64"/>
      <c r="D120" s="64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7"/>
    </row>
    <row r="121" spans="1:16" ht="13.5" customHeight="1">
      <c r="A121" s="23" t="str">
        <f t="shared" ref="A121:A127" si="2">A13</f>
        <v>D6R</v>
      </c>
      <c r="B121" s="403">
        <v>32.35</v>
      </c>
      <c r="C121" s="403">
        <v>32.44</v>
      </c>
      <c r="D121" s="403"/>
      <c r="E121" s="403"/>
      <c r="F121" s="281"/>
      <c r="G121" s="281"/>
      <c r="H121" s="281"/>
      <c r="I121" s="281"/>
      <c r="J121" s="281"/>
      <c r="K121" s="281"/>
      <c r="L121" s="281"/>
      <c r="M121" s="281"/>
      <c r="N121" s="281"/>
      <c r="O121" s="281"/>
      <c r="P121" s="282"/>
    </row>
    <row r="122" spans="1:16" ht="13.5" customHeight="1">
      <c r="A122" s="23" t="str">
        <f t="shared" si="2"/>
        <v>D6R w/ Winch</v>
      </c>
      <c r="B122" s="552">
        <v>33.97</v>
      </c>
      <c r="C122" s="552">
        <v>34.06</v>
      </c>
      <c r="D122" s="552"/>
      <c r="E122" s="552"/>
      <c r="F122" s="287"/>
      <c r="G122" s="287"/>
      <c r="H122" s="287"/>
      <c r="I122" s="287"/>
      <c r="J122" s="287"/>
      <c r="K122" s="287"/>
      <c r="L122" s="287"/>
      <c r="M122" s="287"/>
      <c r="N122" s="287"/>
      <c r="O122" s="287"/>
      <c r="P122" s="553"/>
    </row>
    <row r="123" spans="1:16" ht="13.5" customHeight="1">
      <c r="A123" s="23" t="str">
        <f t="shared" si="2"/>
        <v>D7R</v>
      </c>
      <c r="B123" s="404">
        <v>36.39</v>
      </c>
      <c r="C123" s="404">
        <v>36.49</v>
      </c>
      <c r="D123" s="404"/>
      <c r="E123" s="404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4"/>
    </row>
    <row r="124" spans="1:16" ht="13.5" customHeight="1">
      <c r="A124" s="23" t="str">
        <f t="shared" si="2"/>
        <v>D8R</v>
      </c>
      <c r="B124" s="404">
        <v>40.44</v>
      </c>
      <c r="C124" s="404">
        <v>40.549999999999997</v>
      </c>
      <c r="D124" s="404"/>
      <c r="E124" s="404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4"/>
    </row>
    <row r="125" spans="1:16" ht="13.5" customHeight="1">
      <c r="A125" s="23" t="str">
        <f t="shared" si="2"/>
        <v>D9R</v>
      </c>
      <c r="B125" s="404">
        <v>44.48</v>
      </c>
      <c r="C125" s="404">
        <v>44.6</v>
      </c>
      <c r="D125" s="404"/>
      <c r="E125" s="404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4"/>
    </row>
    <row r="126" spans="1:16" ht="13.5" customHeight="1">
      <c r="A126" s="23" t="str">
        <f t="shared" si="2"/>
        <v>D10R</v>
      </c>
      <c r="B126" s="404">
        <v>59.61</v>
      </c>
      <c r="C126" s="404">
        <v>58.77</v>
      </c>
      <c r="D126" s="404"/>
      <c r="E126" s="404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4"/>
    </row>
    <row r="127" spans="1:16" ht="13.5" customHeight="1" thickBot="1">
      <c r="A127" s="563" t="str">
        <f t="shared" si="2"/>
        <v>D11R</v>
      </c>
      <c r="B127" s="564">
        <v>83.96</v>
      </c>
      <c r="C127" s="564">
        <v>84.18</v>
      </c>
      <c r="D127" s="564"/>
      <c r="E127" s="564"/>
      <c r="F127" s="293"/>
      <c r="G127" s="293"/>
      <c r="H127" s="293"/>
      <c r="I127" s="293"/>
      <c r="J127" s="293"/>
      <c r="K127" s="293"/>
      <c r="L127" s="293"/>
      <c r="M127" s="293"/>
      <c r="N127" s="293"/>
      <c r="O127" s="293"/>
      <c r="P127" s="294"/>
    </row>
    <row r="128" spans="1:16" ht="16.5" customHeight="1" thickBot="1">
      <c r="A128" s="17" t="s">
        <v>365</v>
      </c>
      <c r="B128" s="12"/>
      <c r="C128" s="12"/>
      <c r="D128" s="12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1"/>
    </row>
    <row r="129" spans="1:18" ht="13.5" customHeight="1">
      <c r="A129" s="569" t="str">
        <f>A21</f>
        <v>824G</v>
      </c>
      <c r="B129" s="552"/>
      <c r="C129" s="552"/>
      <c r="D129" s="552"/>
      <c r="E129" s="552"/>
      <c r="F129" s="287"/>
      <c r="G129" s="287"/>
      <c r="H129" s="287"/>
      <c r="I129" s="287"/>
      <c r="J129" s="287"/>
      <c r="K129" s="287"/>
      <c r="L129" s="287"/>
      <c r="M129" s="287"/>
      <c r="N129" s="287"/>
      <c r="O129" s="287"/>
      <c r="P129" s="553"/>
    </row>
    <row r="130" spans="1:18" ht="13.5" customHeight="1">
      <c r="A130" s="23" t="str">
        <f>A22</f>
        <v>834G</v>
      </c>
      <c r="B130" s="552"/>
      <c r="C130" s="552"/>
      <c r="D130" s="552"/>
      <c r="E130" s="552"/>
      <c r="F130" s="287"/>
      <c r="G130" s="287"/>
      <c r="H130" s="287"/>
      <c r="I130" s="287"/>
      <c r="J130" s="287"/>
      <c r="K130" s="287"/>
      <c r="L130" s="287"/>
      <c r="M130" s="287"/>
      <c r="N130" s="287"/>
      <c r="O130" s="287"/>
      <c r="P130" s="553"/>
    </row>
    <row r="131" spans="1:18" ht="13.5" customHeight="1">
      <c r="A131" s="570">
        <f>A23</f>
        <v>844</v>
      </c>
      <c r="B131" s="404"/>
      <c r="C131" s="404"/>
      <c r="D131" s="404"/>
      <c r="E131" s="404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4"/>
    </row>
    <row r="132" spans="1:18" ht="13.5" customHeight="1" thickBot="1">
      <c r="A132" s="23" t="str">
        <f>A24</f>
        <v>854G</v>
      </c>
      <c r="B132" s="404"/>
      <c r="C132" s="404"/>
      <c r="D132" s="404"/>
      <c r="E132" s="404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4"/>
    </row>
    <row r="133" spans="1:18" ht="16.5" customHeight="1" thickBot="1">
      <c r="A133" s="17" t="s">
        <v>48</v>
      </c>
      <c r="B133" s="190"/>
      <c r="C133" s="190"/>
      <c r="D133" s="190"/>
      <c r="E133" s="190"/>
      <c r="F133" s="190"/>
      <c r="G133" s="190"/>
      <c r="H133" s="190"/>
      <c r="I133" s="190"/>
      <c r="J133" s="190"/>
      <c r="K133" s="190"/>
      <c r="L133" s="190"/>
      <c r="M133" s="190"/>
      <c r="N133" s="190"/>
      <c r="O133" s="190"/>
      <c r="P133" s="191"/>
    </row>
    <row r="134" spans="1:18" ht="13.5" customHeight="1">
      <c r="A134" s="23" t="str">
        <f>A26</f>
        <v>120H</v>
      </c>
      <c r="B134" s="283">
        <v>23.36</v>
      </c>
      <c r="C134" s="283">
        <v>23.43</v>
      </c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4"/>
    </row>
    <row r="135" spans="1:18" ht="13.5" customHeight="1">
      <c r="A135" s="23" t="str">
        <f>A27</f>
        <v>14G/H</v>
      </c>
      <c r="B135" s="283">
        <v>28.95</v>
      </c>
      <c r="C135" s="283">
        <v>20.03</v>
      </c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4"/>
    </row>
    <row r="136" spans="1:18" ht="13.5" customHeight="1">
      <c r="A136" s="23" t="str">
        <f>A28</f>
        <v>16G/H</v>
      </c>
      <c r="B136" s="283">
        <v>37.22</v>
      </c>
      <c r="C136" s="283">
        <v>37.32</v>
      </c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4"/>
    </row>
    <row r="137" spans="1:18" ht="13.5" customHeight="1" thickBot="1">
      <c r="A137" s="23" t="str">
        <f>A29</f>
        <v>24M</v>
      </c>
      <c r="B137" s="283">
        <v>41.11</v>
      </c>
      <c r="C137" s="283">
        <v>40.049999999999997</v>
      </c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4"/>
    </row>
    <row r="138" spans="1:18" ht="16.5" customHeight="1" thickBot="1">
      <c r="A138" s="17" t="s">
        <v>51</v>
      </c>
      <c r="B138" s="190"/>
      <c r="C138" s="190"/>
      <c r="D138" s="190"/>
      <c r="E138" s="190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1"/>
    </row>
    <row r="139" spans="1:18" ht="13.5" customHeight="1">
      <c r="A139" s="23" t="str">
        <f t="shared" ref="A139:A145" si="3">A31</f>
        <v>312C</v>
      </c>
      <c r="B139" s="283">
        <v>23.5</v>
      </c>
      <c r="C139" s="283">
        <v>23.5</v>
      </c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4"/>
    </row>
    <row r="140" spans="1:18" ht="13.5" customHeight="1">
      <c r="A140" s="23" t="str">
        <f t="shared" si="3"/>
        <v>320C</v>
      </c>
      <c r="B140" s="283">
        <v>35.1</v>
      </c>
      <c r="C140" s="283">
        <v>35.200000000000003</v>
      </c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4"/>
    </row>
    <row r="141" spans="1:18" ht="13.5" customHeight="1">
      <c r="A141" s="23" t="str">
        <f t="shared" si="3"/>
        <v>325C</v>
      </c>
      <c r="B141" s="283">
        <v>40.11</v>
      </c>
      <c r="C141" s="283">
        <v>40.22</v>
      </c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4"/>
    </row>
    <row r="142" spans="1:18" ht="13.5" customHeight="1">
      <c r="A142" s="23" t="str">
        <f t="shared" si="3"/>
        <v>330C</v>
      </c>
      <c r="B142" s="283">
        <v>42.5</v>
      </c>
      <c r="C142" s="283">
        <v>42.5</v>
      </c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4"/>
    </row>
    <row r="143" spans="1:18" ht="13.5" customHeight="1">
      <c r="A143" s="23" t="str">
        <f t="shared" si="3"/>
        <v>345B</v>
      </c>
      <c r="B143" s="283">
        <v>45.13</v>
      </c>
      <c r="C143" s="283">
        <v>45.25</v>
      </c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4"/>
    </row>
    <row r="144" spans="1:18" ht="13.5" customHeight="1">
      <c r="A144" s="23" t="str">
        <f t="shared" si="3"/>
        <v>365BL</v>
      </c>
      <c r="B144" s="283">
        <v>50</v>
      </c>
      <c r="C144" s="283">
        <v>50</v>
      </c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4"/>
      <c r="Q144" s="1"/>
      <c r="R144" s="1"/>
    </row>
    <row r="145" spans="1:16" ht="13.5" customHeight="1" thickBot="1">
      <c r="A145" s="23" t="str">
        <f t="shared" si="3"/>
        <v>385BL</v>
      </c>
      <c r="B145" s="283">
        <v>55.15</v>
      </c>
      <c r="C145" s="283">
        <v>55.31</v>
      </c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4"/>
    </row>
    <row r="146" spans="1:16" ht="16.5" customHeight="1" thickBot="1">
      <c r="A146" s="17" t="s">
        <v>56</v>
      </c>
      <c r="B146" s="190"/>
      <c r="C146" s="190"/>
      <c r="D146" s="190"/>
      <c r="E146" s="190"/>
      <c r="F146" s="190"/>
      <c r="G146" s="190"/>
      <c r="H146" s="190"/>
      <c r="I146" s="190"/>
      <c r="J146" s="190"/>
      <c r="K146" s="190"/>
      <c r="L146" s="190"/>
      <c r="M146" s="190"/>
      <c r="N146" s="190"/>
      <c r="O146" s="190"/>
      <c r="P146" s="191"/>
    </row>
    <row r="147" spans="1:16" ht="13.5" customHeight="1">
      <c r="A147" s="23" t="str">
        <f>A39</f>
        <v>631G</v>
      </c>
      <c r="B147" s="283">
        <v>53.91</v>
      </c>
      <c r="C147" s="283">
        <v>54.06</v>
      </c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4"/>
    </row>
    <row r="148" spans="1:16" ht="13.5" customHeight="1" thickBot="1">
      <c r="A148" s="23" t="str">
        <f>A40</f>
        <v>637G PP</v>
      </c>
      <c r="B148" s="283">
        <v>80.87</v>
      </c>
      <c r="C148" s="283">
        <v>81.099999999999994</v>
      </c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4"/>
    </row>
    <row r="149" spans="1:16" ht="16.5" customHeight="1" thickBot="1">
      <c r="A149" s="17" t="s">
        <v>59</v>
      </c>
      <c r="B149" s="190"/>
      <c r="C149" s="190"/>
      <c r="D149" s="190"/>
      <c r="E149" s="190"/>
      <c r="F149" s="190"/>
      <c r="G149" s="190"/>
      <c r="H149" s="190"/>
      <c r="I149" s="190"/>
      <c r="J149" s="190"/>
      <c r="K149" s="190"/>
      <c r="L149" s="190"/>
      <c r="M149" s="190"/>
      <c r="N149" s="190"/>
      <c r="O149" s="190"/>
      <c r="P149" s="191"/>
    </row>
    <row r="150" spans="1:16" ht="13.5" customHeight="1">
      <c r="A150" s="23" t="str">
        <f t="shared" ref="A150:A166" si="4">A42</f>
        <v>924G</v>
      </c>
      <c r="B150" s="283">
        <v>15.85</v>
      </c>
      <c r="C150" s="283">
        <v>15.89</v>
      </c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4"/>
    </row>
    <row r="151" spans="1:16" ht="13.5" customHeight="1">
      <c r="A151" s="23" t="str">
        <f t="shared" si="4"/>
        <v>928G</v>
      </c>
      <c r="B151" s="283">
        <v>22.64</v>
      </c>
      <c r="C151" s="283">
        <v>22.71</v>
      </c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4"/>
    </row>
    <row r="152" spans="1:16" ht="13.5" customHeight="1">
      <c r="A152" s="23" t="str">
        <f t="shared" si="4"/>
        <v>950G</v>
      </c>
      <c r="B152" s="283">
        <v>32.35</v>
      </c>
      <c r="C152" s="283">
        <v>32.44</v>
      </c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4"/>
    </row>
    <row r="153" spans="1:16" ht="13.5" customHeight="1">
      <c r="A153" s="23" t="str">
        <f t="shared" si="4"/>
        <v>966G</v>
      </c>
      <c r="B153" s="283">
        <v>40.44</v>
      </c>
      <c r="C153" s="283">
        <v>40.549999999999997</v>
      </c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4"/>
    </row>
    <row r="154" spans="1:16" ht="13.5" customHeight="1">
      <c r="A154" s="23" t="str">
        <f t="shared" si="4"/>
        <v>972G</v>
      </c>
      <c r="B154" s="283">
        <v>47.17</v>
      </c>
      <c r="C154" s="283">
        <v>47.31</v>
      </c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4"/>
    </row>
    <row r="155" spans="1:16" ht="13.5" customHeight="1">
      <c r="A155" s="23" t="str">
        <f t="shared" si="4"/>
        <v>980G</v>
      </c>
      <c r="B155" s="283">
        <v>52</v>
      </c>
      <c r="C155" s="283">
        <v>52</v>
      </c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4"/>
    </row>
    <row r="156" spans="1:16" ht="13.5" customHeight="1">
      <c r="A156" s="23" t="str">
        <f t="shared" si="4"/>
        <v>988G</v>
      </c>
      <c r="B156" s="283">
        <v>57.96</v>
      </c>
      <c r="C156" s="283">
        <v>58.12</v>
      </c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4"/>
    </row>
    <row r="157" spans="1:16" ht="13.5" customHeight="1">
      <c r="A157" s="589">
        <f t="shared" si="4"/>
        <v>990</v>
      </c>
      <c r="B157" s="283">
        <v>64.75</v>
      </c>
      <c r="C157" s="283">
        <v>66.34</v>
      </c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4"/>
    </row>
    <row r="158" spans="1:16" ht="13.5" customHeight="1">
      <c r="A158" s="23" t="str">
        <f t="shared" si="4"/>
        <v>992G</v>
      </c>
      <c r="B158" s="283">
        <v>80.06</v>
      </c>
      <c r="C158" s="283">
        <v>80.28</v>
      </c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4"/>
    </row>
    <row r="159" spans="1:16" ht="13.5" customHeight="1">
      <c r="A159" s="23" t="str">
        <f t="shared" si="4"/>
        <v>994D</v>
      </c>
      <c r="B159" s="283">
        <v>140.11000000000001</v>
      </c>
      <c r="C159" s="283">
        <v>140.5</v>
      </c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4"/>
    </row>
    <row r="160" spans="1:16" ht="13.5" customHeight="1" thickBot="1">
      <c r="A160" s="23" t="str">
        <f t="shared" si="4"/>
        <v>L-2350</v>
      </c>
      <c r="B160" s="283">
        <v>150.34</v>
      </c>
      <c r="C160" s="283">
        <v>150.34</v>
      </c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4"/>
    </row>
    <row r="161" spans="1:16" ht="16.5" customHeight="1" thickBot="1">
      <c r="A161" s="17" t="s">
        <v>398</v>
      </c>
      <c r="B161" s="190"/>
      <c r="C161" s="190"/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  <c r="N161" s="190"/>
      <c r="O161" s="190"/>
      <c r="P161" s="191"/>
    </row>
    <row r="162" spans="1:16" ht="13.5" customHeight="1">
      <c r="A162" s="23" t="str">
        <f t="shared" si="4"/>
        <v>KOM PC2000</v>
      </c>
      <c r="B162" s="283">
        <v>201.61</v>
      </c>
      <c r="C162" s="283">
        <v>201.61</v>
      </c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4"/>
    </row>
    <row r="163" spans="1:16" ht="13.5" customHeight="1">
      <c r="A163" s="23" t="str">
        <f t="shared" si="4"/>
        <v>KOM PC3000</v>
      </c>
      <c r="B163" s="283">
        <v>222.34</v>
      </c>
      <c r="C163" s="283">
        <v>222.34</v>
      </c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4"/>
    </row>
    <row r="164" spans="1:16" ht="13.5" customHeight="1">
      <c r="A164" s="23" t="str">
        <f t="shared" si="4"/>
        <v>KOM PC4000</v>
      </c>
      <c r="B164" s="283">
        <v>302.54000000000002</v>
      </c>
      <c r="C164" s="283">
        <v>302.54000000000002</v>
      </c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4"/>
    </row>
    <row r="165" spans="1:16" ht="13.5" customHeight="1">
      <c r="A165" s="23" t="str">
        <f t="shared" si="4"/>
        <v>KOM PC5500</v>
      </c>
      <c r="B165" s="283">
        <v>335.76</v>
      </c>
      <c r="C165" s="283">
        <v>335.76</v>
      </c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4"/>
    </row>
    <row r="166" spans="1:16" ht="13.5" customHeight="1" thickBot="1">
      <c r="A166" s="23" t="str">
        <f t="shared" si="4"/>
        <v>KOM PC8000</v>
      </c>
      <c r="B166" s="283">
        <v>402.88</v>
      </c>
      <c r="C166" s="283">
        <v>402.88</v>
      </c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4"/>
    </row>
    <row r="167" spans="1:16" ht="16.5" customHeight="1" thickBot="1">
      <c r="A167" s="17" t="s">
        <v>145</v>
      </c>
      <c r="B167" s="12"/>
      <c r="C167" s="12"/>
      <c r="D167" s="12"/>
      <c r="E167" s="190"/>
      <c r="F167" s="190"/>
      <c r="G167" s="190"/>
      <c r="H167" s="190"/>
      <c r="I167" s="190"/>
      <c r="J167" s="190"/>
      <c r="K167" s="190"/>
      <c r="L167" s="190"/>
      <c r="M167" s="190"/>
      <c r="N167" s="190"/>
      <c r="O167" s="190"/>
      <c r="P167" s="191"/>
    </row>
    <row r="168" spans="1:16" ht="13.5" customHeight="1">
      <c r="A168" s="5" t="str">
        <f>A60</f>
        <v>H-120 (fits 325)</v>
      </c>
      <c r="B168" s="158" t="s">
        <v>189</v>
      </c>
      <c r="C168" s="158" t="s">
        <v>189</v>
      </c>
      <c r="D168" s="158" t="s">
        <v>189</v>
      </c>
      <c r="E168" s="200" t="s">
        <v>189</v>
      </c>
      <c r="F168" s="200" t="s">
        <v>189</v>
      </c>
      <c r="G168" s="200" t="s">
        <v>189</v>
      </c>
      <c r="H168" s="200" t="s">
        <v>189</v>
      </c>
      <c r="I168" s="200" t="s">
        <v>189</v>
      </c>
      <c r="J168" s="200" t="s">
        <v>189</v>
      </c>
      <c r="K168" s="200" t="s">
        <v>189</v>
      </c>
      <c r="L168" s="200" t="s">
        <v>189</v>
      </c>
      <c r="M168" s="200" t="s">
        <v>189</v>
      </c>
      <c r="N168" s="200" t="s">
        <v>189</v>
      </c>
      <c r="O168" s="200" t="s">
        <v>189</v>
      </c>
      <c r="P168" s="201" t="s">
        <v>189</v>
      </c>
    </row>
    <row r="169" spans="1:16" ht="13.5" customHeight="1">
      <c r="A169" s="22" t="str">
        <f>A61</f>
        <v>H-160 (fits 345)</v>
      </c>
      <c r="B169" s="158" t="s">
        <v>189</v>
      </c>
      <c r="C169" s="158" t="s">
        <v>189</v>
      </c>
      <c r="D169" s="158" t="s">
        <v>189</v>
      </c>
      <c r="E169" s="200" t="s">
        <v>189</v>
      </c>
      <c r="F169" s="200" t="s">
        <v>189</v>
      </c>
      <c r="G169" s="200" t="s">
        <v>189</v>
      </c>
      <c r="H169" s="200" t="s">
        <v>189</v>
      </c>
      <c r="I169" s="200" t="s">
        <v>189</v>
      </c>
      <c r="J169" s="200" t="s">
        <v>189</v>
      </c>
      <c r="K169" s="200" t="s">
        <v>189</v>
      </c>
      <c r="L169" s="200" t="s">
        <v>189</v>
      </c>
      <c r="M169" s="200" t="s">
        <v>189</v>
      </c>
      <c r="N169" s="200" t="s">
        <v>189</v>
      </c>
      <c r="O169" s="200" t="s">
        <v>189</v>
      </c>
      <c r="P169" s="201" t="s">
        <v>189</v>
      </c>
    </row>
    <row r="170" spans="1:16" ht="13.5" customHeight="1" thickBot="1">
      <c r="A170" s="65" t="str">
        <f>A62</f>
        <v>H-180 (fits 365/385)</v>
      </c>
      <c r="B170" s="159" t="s">
        <v>189</v>
      </c>
      <c r="C170" s="159" t="s">
        <v>189</v>
      </c>
      <c r="D170" s="159" t="s">
        <v>189</v>
      </c>
      <c r="E170" s="202" t="s">
        <v>189</v>
      </c>
      <c r="F170" s="202" t="s">
        <v>189</v>
      </c>
      <c r="G170" s="202" t="s">
        <v>189</v>
      </c>
      <c r="H170" s="202" t="s">
        <v>189</v>
      </c>
      <c r="I170" s="202" t="s">
        <v>189</v>
      </c>
      <c r="J170" s="202" t="s">
        <v>189</v>
      </c>
      <c r="K170" s="202" t="s">
        <v>189</v>
      </c>
      <c r="L170" s="202" t="s">
        <v>189</v>
      </c>
      <c r="M170" s="202" t="s">
        <v>189</v>
      </c>
      <c r="N170" s="202" t="s">
        <v>189</v>
      </c>
      <c r="O170" s="202" t="s">
        <v>189</v>
      </c>
      <c r="P170" s="203" t="s">
        <v>189</v>
      </c>
    </row>
    <row r="171" spans="1:16" ht="16.5" customHeight="1" thickBot="1">
      <c r="A171" s="17" t="s">
        <v>337</v>
      </c>
      <c r="B171" s="12"/>
      <c r="C171" s="12"/>
      <c r="D171" s="12"/>
      <c r="E171" s="190"/>
      <c r="F171" s="190"/>
      <c r="G171" s="190"/>
      <c r="H171" s="190"/>
      <c r="I171" s="190"/>
      <c r="J171" s="190"/>
      <c r="K171" s="190"/>
      <c r="L171" s="190"/>
      <c r="M171" s="190"/>
      <c r="N171" s="190"/>
      <c r="O171" s="190"/>
      <c r="P171" s="191"/>
    </row>
    <row r="172" spans="1:16" ht="13.5" customHeight="1">
      <c r="A172" s="5" t="str">
        <f>A64</f>
        <v>S340 (fits 322/325/330)</v>
      </c>
      <c r="B172" s="158" t="s">
        <v>189</v>
      </c>
      <c r="C172" s="158" t="s">
        <v>189</v>
      </c>
      <c r="D172" s="158" t="s">
        <v>189</v>
      </c>
      <c r="E172" s="200" t="s">
        <v>189</v>
      </c>
      <c r="F172" s="200" t="s">
        <v>189</v>
      </c>
      <c r="G172" s="200" t="s">
        <v>189</v>
      </c>
      <c r="H172" s="200" t="s">
        <v>189</v>
      </c>
      <c r="I172" s="200" t="s">
        <v>189</v>
      </c>
      <c r="J172" s="200" t="s">
        <v>189</v>
      </c>
      <c r="K172" s="200" t="s">
        <v>189</v>
      </c>
      <c r="L172" s="200" t="s">
        <v>189</v>
      </c>
      <c r="M172" s="200" t="s">
        <v>189</v>
      </c>
      <c r="N172" s="200" t="s">
        <v>189</v>
      </c>
      <c r="O172" s="200" t="s">
        <v>189</v>
      </c>
      <c r="P172" s="201" t="s">
        <v>189</v>
      </c>
    </row>
    <row r="173" spans="1:16" ht="13.5" customHeight="1">
      <c r="A173" s="22" t="str">
        <f>A65</f>
        <v>S365 (fits 330/345)</v>
      </c>
      <c r="B173" s="158" t="s">
        <v>189</v>
      </c>
      <c r="C173" s="158" t="s">
        <v>189</v>
      </c>
      <c r="D173" s="158" t="s">
        <v>189</v>
      </c>
      <c r="E173" s="200" t="s">
        <v>189</v>
      </c>
      <c r="F173" s="200" t="s">
        <v>189</v>
      </c>
      <c r="G173" s="200" t="s">
        <v>189</v>
      </c>
      <c r="H173" s="200" t="s">
        <v>189</v>
      </c>
      <c r="I173" s="200" t="s">
        <v>189</v>
      </c>
      <c r="J173" s="200" t="s">
        <v>189</v>
      </c>
      <c r="K173" s="200" t="s">
        <v>189</v>
      </c>
      <c r="L173" s="200" t="s">
        <v>189</v>
      </c>
      <c r="M173" s="200" t="s">
        <v>189</v>
      </c>
      <c r="N173" s="200" t="s">
        <v>189</v>
      </c>
      <c r="O173" s="200" t="s">
        <v>189</v>
      </c>
      <c r="P173" s="201" t="s">
        <v>189</v>
      </c>
    </row>
    <row r="174" spans="1:16" ht="13.5" customHeight="1" thickBot="1">
      <c r="A174" s="65" t="str">
        <f>A66</f>
        <v>S390 (fits 365/385)</v>
      </c>
      <c r="B174" s="159" t="s">
        <v>189</v>
      </c>
      <c r="C174" s="159" t="s">
        <v>189</v>
      </c>
      <c r="D174" s="159" t="s">
        <v>189</v>
      </c>
      <c r="E174" s="202" t="s">
        <v>189</v>
      </c>
      <c r="F174" s="202" t="s">
        <v>189</v>
      </c>
      <c r="G174" s="202" t="s">
        <v>189</v>
      </c>
      <c r="H174" s="202" t="s">
        <v>189</v>
      </c>
      <c r="I174" s="202" t="s">
        <v>189</v>
      </c>
      <c r="J174" s="202" t="s">
        <v>189</v>
      </c>
      <c r="K174" s="202" t="s">
        <v>189</v>
      </c>
      <c r="L174" s="202" t="s">
        <v>189</v>
      </c>
      <c r="M174" s="202" t="s">
        <v>189</v>
      </c>
      <c r="N174" s="202" t="s">
        <v>189</v>
      </c>
      <c r="O174" s="202" t="s">
        <v>189</v>
      </c>
      <c r="P174" s="203" t="s">
        <v>189</v>
      </c>
    </row>
    <row r="175" spans="1:16" ht="16.5" customHeight="1" thickBot="1">
      <c r="A175" s="17" t="s">
        <v>341</v>
      </c>
      <c r="B175" s="12"/>
      <c r="C175" s="12"/>
      <c r="D175" s="12"/>
      <c r="E175" s="190"/>
      <c r="F175" s="190"/>
      <c r="G175" s="190"/>
      <c r="H175" s="190"/>
      <c r="I175" s="190"/>
      <c r="J175" s="190"/>
      <c r="K175" s="190"/>
      <c r="L175" s="190"/>
      <c r="M175" s="190"/>
      <c r="N175" s="190"/>
      <c r="O175" s="190"/>
      <c r="P175" s="191"/>
    </row>
    <row r="176" spans="1:16" ht="13.5" customHeight="1">
      <c r="A176" s="5" t="str">
        <f>A68</f>
        <v>G315 (fits 322/325)</v>
      </c>
      <c r="B176" s="158" t="s">
        <v>189</v>
      </c>
      <c r="C176" s="158" t="s">
        <v>189</v>
      </c>
      <c r="D176" s="158" t="s">
        <v>189</v>
      </c>
      <c r="E176" s="200" t="s">
        <v>189</v>
      </c>
      <c r="F176" s="200" t="s">
        <v>189</v>
      </c>
      <c r="G176" s="200" t="s">
        <v>189</v>
      </c>
      <c r="H176" s="200" t="s">
        <v>189</v>
      </c>
      <c r="I176" s="200" t="s">
        <v>189</v>
      </c>
      <c r="J176" s="200" t="s">
        <v>189</v>
      </c>
      <c r="K176" s="200" t="s">
        <v>189</v>
      </c>
      <c r="L176" s="200" t="s">
        <v>189</v>
      </c>
      <c r="M176" s="200" t="s">
        <v>189</v>
      </c>
      <c r="N176" s="200" t="s">
        <v>189</v>
      </c>
      <c r="O176" s="200" t="s">
        <v>189</v>
      </c>
      <c r="P176" s="201" t="s">
        <v>189</v>
      </c>
    </row>
    <row r="177" spans="1:16" ht="13.5" customHeight="1">
      <c r="A177" s="22" t="str">
        <f>A69</f>
        <v>G320 (fits 325/330)</v>
      </c>
      <c r="B177" s="158" t="s">
        <v>189</v>
      </c>
      <c r="C177" s="158" t="s">
        <v>189</v>
      </c>
      <c r="D177" s="158" t="s">
        <v>189</v>
      </c>
      <c r="E177" s="200" t="s">
        <v>189</v>
      </c>
      <c r="F177" s="200" t="s">
        <v>189</v>
      </c>
      <c r="G177" s="200" t="s">
        <v>189</v>
      </c>
      <c r="H177" s="200" t="s">
        <v>189</v>
      </c>
      <c r="I177" s="200" t="s">
        <v>189</v>
      </c>
      <c r="J177" s="200" t="s">
        <v>189</v>
      </c>
      <c r="K177" s="200" t="s">
        <v>189</v>
      </c>
      <c r="L177" s="200" t="s">
        <v>189</v>
      </c>
      <c r="M177" s="200" t="s">
        <v>189</v>
      </c>
      <c r="N177" s="200" t="s">
        <v>189</v>
      </c>
      <c r="O177" s="200" t="s">
        <v>189</v>
      </c>
      <c r="P177" s="201" t="s">
        <v>189</v>
      </c>
    </row>
    <row r="178" spans="1:16" ht="13.5" customHeight="1" thickBot="1">
      <c r="A178" s="65" t="str">
        <f>A70</f>
        <v>G330 (fits 345/365)</v>
      </c>
      <c r="B178" s="159" t="s">
        <v>189</v>
      </c>
      <c r="C178" s="159" t="s">
        <v>189</v>
      </c>
      <c r="D178" s="159" t="s">
        <v>189</v>
      </c>
      <c r="E178" s="202" t="s">
        <v>189</v>
      </c>
      <c r="F178" s="202" t="s">
        <v>189</v>
      </c>
      <c r="G178" s="202" t="s">
        <v>189</v>
      </c>
      <c r="H178" s="202" t="s">
        <v>189</v>
      </c>
      <c r="I178" s="202" t="s">
        <v>189</v>
      </c>
      <c r="J178" s="202" t="s">
        <v>189</v>
      </c>
      <c r="K178" s="202" t="s">
        <v>189</v>
      </c>
      <c r="L178" s="202" t="s">
        <v>189</v>
      </c>
      <c r="M178" s="202" t="s">
        <v>189</v>
      </c>
      <c r="N178" s="202" t="s">
        <v>189</v>
      </c>
      <c r="O178" s="202" t="s">
        <v>189</v>
      </c>
      <c r="P178" s="203" t="s">
        <v>189</v>
      </c>
    </row>
    <row r="179" spans="1:16" ht="16.5" customHeight="1" thickBot="1">
      <c r="A179" s="17" t="s">
        <v>68</v>
      </c>
      <c r="B179" s="12"/>
      <c r="C179" s="12"/>
      <c r="D179" s="12"/>
      <c r="E179" s="190"/>
      <c r="F179" s="190"/>
      <c r="G179" s="190"/>
      <c r="H179" s="190"/>
      <c r="I179" s="190"/>
      <c r="J179" s="190"/>
      <c r="K179" s="190"/>
      <c r="L179" s="190"/>
      <c r="M179" s="190"/>
      <c r="N179" s="190"/>
      <c r="O179" s="190"/>
      <c r="P179" s="191"/>
    </row>
    <row r="180" spans="1:16" ht="13.5" customHeight="1">
      <c r="A180" s="23" t="str">
        <f t="shared" ref="A180:A200" si="5">A72</f>
        <v>420D 4WD Backhoe</v>
      </c>
      <c r="B180" s="281">
        <v>9.32</v>
      </c>
      <c r="C180" s="424">
        <v>9.342191684611203</v>
      </c>
      <c r="D180" s="424"/>
      <c r="E180" s="424"/>
      <c r="F180" s="424"/>
      <c r="G180" s="281"/>
      <c r="H180" s="281"/>
      <c r="I180" s="281"/>
      <c r="J180" s="281"/>
      <c r="K180" s="281"/>
      <c r="L180" s="281"/>
      <c r="M180" s="281"/>
      <c r="N180" s="281"/>
      <c r="O180" s="281"/>
      <c r="P180" s="282"/>
    </row>
    <row r="181" spans="1:16" ht="13.5" customHeight="1">
      <c r="A181" s="23" t="str">
        <f t="shared" si="5"/>
        <v>428D 4WD Backhoe</v>
      </c>
      <c r="B181" s="287">
        <v>6.56</v>
      </c>
      <c r="C181" s="425">
        <v>6.1965000000000003</v>
      </c>
      <c r="D181" s="425"/>
      <c r="E181" s="425"/>
      <c r="F181" s="425"/>
      <c r="G181" s="272"/>
      <c r="H181" s="272"/>
      <c r="I181" s="272"/>
      <c r="J181" s="272"/>
      <c r="K181" s="272"/>
      <c r="L181" s="272"/>
      <c r="M181" s="272"/>
      <c r="N181" s="272"/>
      <c r="O181" s="272"/>
      <c r="P181" s="273"/>
    </row>
    <row r="182" spans="1:16" ht="13.5" customHeight="1">
      <c r="A182" s="23" t="str">
        <f t="shared" si="5"/>
        <v>CS533E Vibratory Roller</v>
      </c>
      <c r="B182" s="287">
        <v>7.29</v>
      </c>
      <c r="C182" s="425">
        <v>6.8849999999999998</v>
      </c>
      <c r="D182" s="425"/>
      <c r="E182" s="425"/>
      <c r="F182" s="425"/>
      <c r="G182" s="272"/>
      <c r="H182" s="272"/>
      <c r="I182" s="272"/>
      <c r="J182" s="272"/>
      <c r="K182" s="272"/>
      <c r="L182" s="272"/>
      <c r="M182" s="272"/>
      <c r="N182" s="272"/>
      <c r="O182" s="272"/>
      <c r="P182" s="273"/>
    </row>
    <row r="183" spans="1:16" ht="13.5" customHeight="1">
      <c r="A183" s="23" t="str">
        <f t="shared" si="5"/>
        <v>CS663E Vibratory Roller</v>
      </c>
      <c r="B183" s="287">
        <v>8.1</v>
      </c>
      <c r="C183" s="425">
        <v>7.65</v>
      </c>
      <c r="D183" s="425"/>
      <c r="E183" s="425"/>
      <c r="F183" s="425"/>
      <c r="G183" s="272"/>
      <c r="H183" s="272"/>
      <c r="I183" s="272"/>
      <c r="J183" s="272"/>
      <c r="K183" s="272"/>
      <c r="L183" s="272"/>
      <c r="M183" s="272"/>
      <c r="N183" s="272"/>
      <c r="O183" s="272"/>
      <c r="P183" s="273"/>
    </row>
    <row r="184" spans="1:16" ht="13.5" customHeight="1">
      <c r="A184" s="23" t="str">
        <f t="shared" si="5"/>
        <v>CP533E Sheepsfoot Compactor</v>
      </c>
      <c r="B184" s="287">
        <v>9</v>
      </c>
      <c r="C184" s="425">
        <v>8.5</v>
      </c>
      <c r="D184" s="425"/>
      <c r="E184" s="425"/>
      <c r="F184" s="425"/>
      <c r="G184" s="272"/>
      <c r="H184" s="272"/>
      <c r="I184" s="272"/>
      <c r="J184" s="272"/>
      <c r="K184" s="272"/>
      <c r="L184" s="272"/>
      <c r="M184" s="272"/>
      <c r="N184" s="272"/>
      <c r="O184" s="272"/>
      <c r="P184" s="273"/>
    </row>
    <row r="185" spans="1:16" ht="13.5" customHeight="1">
      <c r="A185" s="23" t="str">
        <f t="shared" si="5"/>
        <v>CP663E Sheepsfoot Compactor</v>
      </c>
      <c r="B185" s="287">
        <v>9.9</v>
      </c>
      <c r="C185" s="425">
        <v>9.35</v>
      </c>
      <c r="D185" s="425"/>
      <c r="E185" s="425"/>
      <c r="F185" s="425"/>
      <c r="G185" s="272"/>
      <c r="H185" s="272"/>
      <c r="I185" s="272"/>
      <c r="J185" s="272"/>
      <c r="K185" s="272"/>
      <c r="L185" s="272"/>
      <c r="M185" s="272"/>
      <c r="N185" s="272"/>
      <c r="O185" s="272"/>
      <c r="P185" s="273"/>
    </row>
    <row r="186" spans="1:16" ht="13.5" customHeight="1">
      <c r="A186" s="23" t="str">
        <f t="shared" si="5"/>
        <v>Light Truck - 1.5 Ton</v>
      </c>
      <c r="B186" s="287">
        <v>3.45</v>
      </c>
      <c r="C186" s="425">
        <v>3.45</v>
      </c>
      <c r="D186" s="425"/>
      <c r="E186" s="425"/>
      <c r="F186" s="425"/>
      <c r="G186" s="272"/>
      <c r="H186" s="272"/>
      <c r="I186" s="272"/>
      <c r="J186" s="272"/>
      <c r="K186" s="272"/>
      <c r="L186" s="272"/>
      <c r="M186" s="272"/>
      <c r="N186" s="272"/>
      <c r="O186" s="272"/>
      <c r="P186" s="273"/>
    </row>
    <row r="187" spans="1:16" ht="13.5" customHeight="1">
      <c r="A187" s="23" t="str">
        <f t="shared" si="5"/>
        <v>Supervisor's Truck</v>
      </c>
      <c r="B187" s="287">
        <v>4.5</v>
      </c>
      <c r="C187" s="425">
        <v>4.5</v>
      </c>
      <c r="D187" s="425"/>
      <c r="E187" s="425"/>
      <c r="F187" s="425"/>
      <c r="G187" s="272"/>
      <c r="H187" s="272"/>
      <c r="I187" s="272"/>
      <c r="J187" s="272"/>
      <c r="K187" s="272"/>
      <c r="L187" s="272"/>
      <c r="M187" s="272"/>
      <c r="N187" s="272"/>
      <c r="O187" s="272"/>
      <c r="P187" s="273"/>
    </row>
    <row r="188" spans="1:16" ht="13.5" customHeight="1">
      <c r="A188" s="23" t="str">
        <f t="shared" si="5"/>
        <v>Flatbed Truck</v>
      </c>
      <c r="B188" s="287">
        <v>4.5</v>
      </c>
      <c r="C188" s="425">
        <v>4.5</v>
      </c>
      <c r="D188" s="425"/>
      <c r="E188" s="425"/>
      <c r="F188" s="425"/>
      <c r="G188" s="272"/>
      <c r="H188" s="272"/>
      <c r="I188" s="272"/>
      <c r="J188" s="272"/>
      <c r="K188" s="272"/>
      <c r="L188" s="272"/>
      <c r="M188" s="272"/>
      <c r="N188" s="272"/>
      <c r="O188" s="272"/>
      <c r="P188" s="273"/>
    </row>
    <row r="189" spans="1:16" ht="13.5" customHeight="1">
      <c r="A189" s="23" t="str">
        <f t="shared" si="5"/>
        <v>Air Compressor + tools</v>
      </c>
      <c r="B189" s="287">
        <v>1.23</v>
      </c>
      <c r="C189" s="425">
        <v>1.23</v>
      </c>
      <c r="D189" s="425"/>
      <c r="E189" s="425"/>
      <c r="F189" s="425"/>
      <c r="G189" s="272"/>
      <c r="H189" s="272"/>
      <c r="I189" s="272"/>
      <c r="J189" s="272"/>
      <c r="K189" s="272"/>
      <c r="L189" s="272"/>
      <c r="M189" s="272"/>
      <c r="N189" s="272"/>
      <c r="O189" s="272"/>
      <c r="P189" s="273"/>
    </row>
    <row r="190" spans="1:16" ht="13.5" customHeight="1">
      <c r="A190" s="23" t="str">
        <f t="shared" si="5"/>
        <v>Welding Equipment</v>
      </c>
      <c r="B190" s="287">
        <v>3</v>
      </c>
      <c r="C190" s="425">
        <v>3</v>
      </c>
      <c r="D190" s="425"/>
      <c r="E190" s="425"/>
      <c r="F190" s="425"/>
      <c r="G190" s="272"/>
      <c r="H190" s="272"/>
      <c r="I190" s="272"/>
      <c r="J190" s="272"/>
      <c r="K190" s="272"/>
      <c r="L190" s="272"/>
      <c r="M190" s="272"/>
      <c r="N190" s="272"/>
      <c r="O190" s="272"/>
      <c r="P190" s="273"/>
    </row>
    <row r="191" spans="1:16" ht="13.5" customHeight="1">
      <c r="A191" s="23" t="str">
        <f t="shared" si="5"/>
        <v>Heavy Duty Drill Rig</v>
      </c>
      <c r="B191" s="287">
        <v>8.76</v>
      </c>
      <c r="C191" s="425">
        <v>8.76</v>
      </c>
      <c r="D191" s="425"/>
      <c r="E191" s="425"/>
      <c r="F191" s="425"/>
      <c r="G191" s="272"/>
      <c r="H191" s="272"/>
      <c r="I191" s="272"/>
      <c r="J191" s="272"/>
      <c r="K191" s="272"/>
      <c r="L191" s="272"/>
      <c r="M191" s="272"/>
      <c r="N191" s="272"/>
      <c r="O191" s="272"/>
      <c r="P191" s="273"/>
    </row>
    <row r="192" spans="1:16" ht="13.5" customHeight="1">
      <c r="A192" s="23" t="str">
        <f t="shared" si="5"/>
        <v>Pump (plugging) Drill Rig</v>
      </c>
      <c r="B192" s="287">
        <v>7.56</v>
      </c>
      <c r="C192" s="425">
        <v>7.56</v>
      </c>
      <c r="D192" s="425"/>
      <c r="E192" s="425"/>
      <c r="F192" s="425"/>
      <c r="G192" s="272"/>
      <c r="H192" s="272"/>
      <c r="I192" s="272"/>
      <c r="J192" s="272"/>
      <c r="K192" s="272"/>
      <c r="L192" s="272"/>
      <c r="M192" s="272"/>
      <c r="N192" s="272"/>
      <c r="O192" s="272"/>
      <c r="P192" s="273"/>
    </row>
    <row r="193" spans="1:16" ht="13.5" customHeight="1">
      <c r="A193" s="23" t="str">
        <f t="shared" si="5"/>
        <v>Concrete Pump</v>
      </c>
      <c r="B193" s="287">
        <v>2.2000000000000002</v>
      </c>
      <c r="C193" s="425">
        <v>2.2000000000000002</v>
      </c>
      <c r="D193" s="425"/>
      <c r="E193" s="425"/>
      <c r="F193" s="425"/>
      <c r="G193" s="272"/>
      <c r="H193" s="272"/>
      <c r="I193" s="272"/>
      <c r="J193" s="272"/>
      <c r="K193" s="272"/>
      <c r="L193" s="272"/>
      <c r="M193" s="272"/>
      <c r="N193" s="272"/>
      <c r="O193" s="272"/>
      <c r="P193" s="273"/>
    </row>
    <row r="194" spans="1:16" ht="13.5" customHeight="1">
      <c r="A194" s="23" t="str">
        <f t="shared" si="5"/>
        <v>Gas Engine Vibrator</v>
      </c>
      <c r="B194" s="287">
        <v>1.76</v>
      </c>
      <c r="C194" s="425">
        <v>1.76</v>
      </c>
      <c r="D194" s="425"/>
      <c r="E194" s="425"/>
      <c r="F194" s="425"/>
      <c r="G194" s="272"/>
      <c r="H194" s="272"/>
      <c r="I194" s="272"/>
      <c r="J194" s="272"/>
      <c r="K194" s="272"/>
      <c r="L194" s="272"/>
      <c r="M194" s="272"/>
      <c r="N194" s="272"/>
      <c r="O194" s="272"/>
      <c r="P194" s="273"/>
    </row>
    <row r="195" spans="1:16" ht="13.5" customHeight="1">
      <c r="A195" s="23" t="str">
        <f t="shared" si="5"/>
        <v>Generator 5KW</v>
      </c>
      <c r="B195" s="287">
        <v>1.24</v>
      </c>
      <c r="C195" s="425">
        <v>1.24</v>
      </c>
      <c r="D195" s="425"/>
      <c r="E195" s="425"/>
      <c r="F195" s="425"/>
      <c r="G195" s="272"/>
      <c r="H195" s="272"/>
      <c r="I195" s="272"/>
      <c r="J195" s="272"/>
      <c r="K195" s="272"/>
      <c r="L195" s="272"/>
      <c r="M195" s="272"/>
      <c r="N195" s="272"/>
      <c r="O195" s="272"/>
      <c r="P195" s="273"/>
    </row>
    <row r="196" spans="1:16" ht="13.5" customHeight="1">
      <c r="A196" s="23" t="str">
        <f t="shared" si="5"/>
        <v>HDEP Welder (pipe or liner)</v>
      </c>
      <c r="B196" s="287">
        <v>1.32</v>
      </c>
      <c r="C196" s="425">
        <v>1.32</v>
      </c>
      <c r="D196" s="425"/>
      <c r="E196" s="425"/>
      <c r="F196" s="425"/>
      <c r="G196" s="272"/>
      <c r="H196" s="272"/>
      <c r="I196" s="272"/>
      <c r="J196" s="272"/>
      <c r="K196" s="272"/>
      <c r="L196" s="272"/>
      <c r="M196" s="272"/>
      <c r="N196" s="272"/>
      <c r="O196" s="272"/>
      <c r="P196" s="273"/>
    </row>
    <row r="197" spans="1:16" ht="13.5" customHeight="1">
      <c r="A197" s="23" t="str">
        <f t="shared" si="5"/>
        <v>5 Ton Crane</v>
      </c>
      <c r="B197" s="425">
        <v>7.25</v>
      </c>
      <c r="C197" s="425">
        <v>7.2661490880309367</v>
      </c>
      <c r="D197" s="425"/>
      <c r="E197" s="425"/>
      <c r="F197" s="425"/>
      <c r="G197" s="283"/>
      <c r="H197" s="283"/>
      <c r="I197" s="283"/>
      <c r="J197" s="283"/>
      <c r="K197" s="283"/>
      <c r="L197" s="283"/>
      <c r="M197" s="283"/>
      <c r="N197" s="283"/>
      <c r="O197" s="283"/>
      <c r="P197" s="284"/>
    </row>
    <row r="198" spans="1:16" ht="13.5" customHeight="1">
      <c r="A198" s="23" t="str">
        <f t="shared" si="5"/>
        <v>20 Ton Crane</v>
      </c>
      <c r="B198" s="425">
        <v>10.35</v>
      </c>
      <c r="C198" s="425">
        <v>10.380212982901339</v>
      </c>
      <c r="D198" s="425"/>
      <c r="E198" s="425"/>
      <c r="F198" s="425"/>
      <c r="G198" s="283"/>
      <c r="H198" s="283"/>
      <c r="I198" s="283"/>
      <c r="J198" s="283"/>
      <c r="K198" s="283"/>
      <c r="L198" s="283"/>
      <c r="M198" s="283"/>
      <c r="N198" s="283"/>
      <c r="O198" s="283"/>
      <c r="P198" s="284"/>
    </row>
    <row r="199" spans="1:16" ht="13.5" customHeight="1">
      <c r="A199" s="23" t="str">
        <f t="shared" si="5"/>
        <v>50 Ton Crane</v>
      </c>
      <c r="B199" s="425">
        <v>12.94</v>
      </c>
      <c r="C199" s="425">
        <v>12.975266228626673</v>
      </c>
      <c r="D199" s="425"/>
      <c r="E199" s="425"/>
      <c r="F199" s="425"/>
      <c r="G199" s="283"/>
      <c r="H199" s="283"/>
      <c r="I199" s="283"/>
      <c r="J199" s="283"/>
      <c r="K199" s="283"/>
      <c r="L199" s="283"/>
      <c r="M199" s="283"/>
      <c r="N199" s="283"/>
      <c r="O199" s="283"/>
      <c r="P199" s="284"/>
    </row>
    <row r="200" spans="1:16" ht="13.5" customHeight="1" thickBot="1">
      <c r="A200" s="23" t="str">
        <f t="shared" si="5"/>
        <v>120 Ton Crane</v>
      </c>
      <c r="B200" s="420">
        <v>19.399999999999999</v>
      </c>
      <c r="C200" s="420">
        <v>19.462899342940005</v>
      </c>
      <c r="D200" s="420"/>
      <c r="E200" s="420"/>
      <c r="F200" s="420"/>
      <c r="G200" s="283"/>
      <c r="H200" s="283"/>
      <c r="I200" s="283"/>
      <c r="J200" s="283"/>
      <c r="K200" s="283"/>
      <c r="L200" s="283"/>
      <c r="M200" s="283"/>
      <c r="N200" s="283"/>
      <c r="O200" s="283"/>
      <c r="P200" s="284"/>
    </row>
    <row r="201" spans="1:16" ht="16.5" customHeight="1" thickBot="1">
      <c r="A201" s="17" t="s">
        <v>65</v>
      </c>
      <c r="B201" s="12"/>
      <c r="C201" s="12"/>
      <c r="D201" s="12"/>
      <c r="E201" s="190"/>
      <c r="F201" s="190"/>
      <c r="G201" s="190"/>
      <c r="H201" s="190"/>
      <c r="I201" s="190"/>
      <c r="J201" s="190"/>
      <c r="K201" s="190"/>
      <c r="L201" s="190"/>
      <c r="M201" s="190"/>
      <c r="N201" s="190"/>
      <c r="O201" s="190"/>
      <c r="P201" s="191"/>
    </row>
    <row r="202" spans="1:16" ht="13.5" customHeight="1">
      <c r="A202" s="23" t="str">
        <f t="shared" ref="A202:A216" si="6">A94</f>
        <v>725 (articulated)</v>
      </c>
      <c r="B202" s="283">
        <v>30.81</v>
      </c>
      <c r="C202" s="283">
        <v>30.81</v>
      </c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4"/>
    </row>
    <row r="203" spans="1:16" ht="13.5" customHeight="1">
      <c r="A203" s="23" t="str">
        <f t="shared" si="6"/>
        <v>730  (articulated)</v>
      </c>
      <c r="B203" s="283">
        <v>33.380000000000003</v>
      </c>
      <c r="C203" s="283">
        <v>33.380000000000003</v>
      </c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4"/>
    </row>
    <row r="204" spans="1:16" ht="13.5" customHeight="1">
      <c r="A204" s="23" t="str">
        <f t="shared" si="6"/>
        <v>735 (articulated)</v>
      </c>
      <c r="B204" s="283">
        <v>36.56</v>
      </c>
      <c r="C204" s="420">
        <v>36.56</v>
      </c>
      <c r="D204" s="420"/>
      <c r="E204" s="420"/>
      <c r="F204" s="420"/>
      <c r="G204" s="283"/>
      <c r="H204" s="283"/>
      <c r="I204" s="283"/>
      <c r="J204" s="283"/>
      <c r="K204" s="283"/>
      <c r="L204" s="283"/>
      <c r="M204" s="283"/>
      <c r="N204" s="283"/>
      <c r="O204" s="283"/>
      <c r="P204" s="284"/>
    </row>
    <row r="205" spans="1:16" ht="13.5" customHeight="1">
      <c r="A205" s="23" t="str">
        <f t="shared" si="6"/>
        <v>740 (articulated)</v>
      </c>
      <c r="B205" s="283">
        <v>36.56</v>
      </c>
      <c r="C205" s="420">
        <v>36.56</v>
      </c>
      <c r="D205" s="420"/>
      <c r="E205" s="420"/>
      <c r="F205" s="420"/>
      <c r="G205" s="283"/>
      <c r="H205" s="283"/>
      <c r="I205" s="283"/>
      <c r="J205" s="283"/>
      <c r="K205" s="283"/>
      <c r="L205" s="283"/>
      <c r="M205" s="283"/>
      <c r="N205" s="283"/>
      <c r="O205" s="283"/>
      <c r="P205" s="284"/>
    </row>
    <row r="206" spans="1:16" ht="13.5" customHeight="1">
      <c r="A206" s="23" t="str">
        <f t="shared" si="6"/>
        <v>769D</v>
      </c>
      <c r="B206" s="420">
        <v>38.82</v>
      </c>
      <c r="C206" s="420">
        <v>38.82</v>
      </c>
      <c r="D206" s="420"/>
      <c r="E206" s="420"/>
      <c r="F206" s="420"/>
      <c r="G206" s="283"/>
      <c r="H206" s="283"/>
      <c r="I206" s="283"/>
      <c r="J206" s="283"/>
      <c r="K206" s="283"/>
      <c r="L206" s="283"/>
      <c r="M206" s="283"/>
      <c r="N206" s="283"/>
      <c r="O206" s="283"/>
      <c r="P206" s="284"/>
    </row>
    <row r="207" spans="1:16" ht="13.5" customHeight="1">
      <c r="A207" s="23" t="str">
        <f t="shared" si="6"/>
        <v>773E</v>
      </c>
      <c r="B207" s="420">
        <v>40.130000000000003</v>
      </c>
      <c r="C207" s="420">
        <v>40.130000000000003</v>
      </c>
      <c r="D207" s="420"/>
      <c r="E207" s="420"/>
      <c r="F207" s="420"/>
      <c r="G207" s="283"/>
      <c r="H207" s="283"/>
      <c r="I207" s="283"/>
      <c r="J207" s="283"/>
      <c r="K207" s="283"/>
      <c r="L207" s="283"/>
      <c r="M207" s="283"/>
      <c r="N207" s="283"/>
      <c r="O207" s="283"/>
      <c r="P207" s="284"/>
    </row>
    <row r="208" spans="1:16" ht="13.5" customHeight="1">
      <c r="A208" s="23" t="str">
        <f t="shared" si="6"/>
        <v>777D</v>
      </c>
      <c r="B208" s="420">
        <v>49.06</v>
      </c>
      <c r="C208" s="420">
        <v>49.06</v>
      </c>
      <c r="D208" s="420"/>
      <c r="E208" s="420"/>
      <c r="F208" s="420"/>
      <c r="G208" s="283"/>
      <c r="H208" s="283"/>
      <c r="I208" s="283"/>
      <c r="J208" s="283"/>
      <c r="K208" s="283"/>
      <c r="L208" s="283"/>
      <c r="M208" s="283"/>
      <c r="N208" s="283"/>
      <c r="O208" s="283"/>
      <c r="P208" s="284"/>
    </row>
    <row r="209" spans="1:16" ht="13.5" customHeight="1">
      <c r="A209" s="23" t="str">
        <f t="shared" si="6"/>
        <v>785C</v>
      </c>
      <c r="B209" s="283">
        <v>77.25</v>
      </c>
      <c r="C209" s="420">
        <v>77.25</v>
      </c>
      <c r="D209" s="420"/>
      <c r="E209" s="420"/>
      <c r="F209" s="420"/>
      <c r="G209" s="283"/>
      <c r="H209" s="283"/>
      <c r="I209" s="283"/>
      <c r="J209" s="283"/>
      <c r="K209" s="283"/>
      <c r="L209" s="283"/>
      <c r="M209" s="283"/>
      <c r="N209" s="283"/>
      <c r="O209" s="283"/>
      <c r="P209" s="284"/>
    </row>
    <row r="210" spans="1:16" ht="13.5" customHeight="1">
      <c r="A210" s="23" t="str">
        <f t="shared" si="6"/>
        <v>793C</v>
      </c>
      <c r="B210" s="283">
        <v>151.12</v>
      </c>
      <c r="C210" s="420">
        <v>151.12</v>
      </c>
      <c r="D210" s="420"/>
      <c r="E210" s="420"/>
      <c r="F210" s="420"/>
      <c r="G210" s="283"/>
      <c r="H210" s="283"/>
      <c r="I210" s="283"/>
      <c r="J210" s="283"/>
      <c r="K210" s="283"/>
      <c r="L210" s="283"/>
      <c r="M210" s="283"/>
      <c r="N210" s="283"/>
      <c r="O210" s="283"/>
      <c r="P210" s="284"/>
    </row>
    <row r="211" spans="1:16" ht="13.5" customHeight="1">
      <c r="A211" s="23" t="str">
        <f t="shared" si="6"/>
        <v>797B</v>
      </c>
      <c r="B211" s="283">
        <v>172.11</v>
      </c>
      <c r="C211" s="420">
        <v>172.11</v>
      </c>
      <c r="D211" s="420"/>
      <c r="E211" s="420"/>
      <c r="F211" s="420"/>
      <c r="G211" s="283"/>
      <c r="H211" s="283"/>
      <c r="I211" s="283"/>
      <c r="J211" s="283"/>
      <c r="K211" s="283"/>
      <c r="L211" s="283"/>
      <c r="M211" s="283"/>
      <c r="N211" s="283"/>
      <c r="O211" s="283"/>
      <c r="P211" s="284"/>
    </row>
    <row r="212" spans="1:16" s="154" customFormat="1" ht="13.5" customHeight="1">
      <c r="A212" s="23" t="str">
        <f t="shared" si="6"/>
        <v>613E (5,000 gal) Water Wagon</v>
      </c>
      <c r="B212" s="283">
        <v>35.04</v>
      </c>
      <c r="C212" s="420">
        <v>35.04</v>
      </c>
      <c r="D212" s="420"/>
      <c r="E212" s="420"/>
      <c r="F212" s="420"/>
      <c r="G212" s="420"/>
      <c r="H212" s="283"/>
      <c r="I212" s="283"/>
      <c r="J212" s="283"/>
      <c r="K212" s="283"/>
      <c r="L212" s="283"/>
      <c r="M212" s="283"/>
      <c r="N212" s="283"/>
      <c r="O212" s="283"/>
      <c r="P212" s="284"/>
    </row>
    <row r="213" spans="1:16" s="155" customFormat="1" ht="13.5" customHeight="1">
      <c r="A213" s="23" t="str">
        <f t="shared" si="6"/>
        <v>621E (8,000 gal) Water Wagon</v>
      </c>
      <c r="B213" s="283">
        <v>37.85</v>
      </c>
      <c r="C213" s="420">
        <v>37.85</v>
      </c>
      <c r="D213" s="420"/>
      <c r="E213" s="420"/>
      <c r="F213" s="420"/>
      <c r="G213" s="420"/>
      <c r="H213" s="283"/>
      <c r="I213" s="283"/>
      <c r="J213" s="283"/>
      <c r="K213" s="283"/>
      <c r="L213" s="283"/>
      <c r="M213" s="283"/>
      <c r="N213" s="283"/>
      <c r="O213" s="283"/>
      <c r="P213" s="284"/>
    </row>
    <row r="214" spans="1:16" ht="13.5" customHeight="1">
      <c r="A214" s="23" t="str">
        <f t="shared" si="6"/>
        <v>777D Water Truck</v>
      </c>
      <c r="B214" s="420">
        <v>60.22</v>
      </c>
      <c r="C214" s="420">
        <v>60.22</v>
      </c>
      <c r="D214" s="420"/>
      <c r="E214" s="420"/>
      <c r="F214" s="420"/>
      <c r="G214" s="293"/>
      <c r="H214" s="293"/>
      <c r="I214" s="293"/>
      <c r="J214" s="293"/>
      <c r="K214" s="293"/>
      <c r="L214" s="293"/>
      <c r="M214" s="293"/>
      <c r="N214" s="293"/>
      <c r="O214" s="293"/>
      <c r="P214" s="294"/>
    </row>
    <row r="215" spans="1:16" ht="13.5" customHeight="1">
      <c r="A215" s="23" t="str">
        <f t="shared" si="6"/>
        <v>785C Water Truck</v>
      </c>
      <c r="B215" s="293">
        <v>77.25</v>
      </c>
      <c r="C215" s="427">
        <v>77.25</v>
      </c>
      <c r="D215" s="427"/>
      <c r="E215" s="427"/>
      <c r="F215" s="427"/>
      <c r="G215" s="293"/>
      <c r="H215" s="293"/>
      <c r="I215" s="293"/>
      <c r="J215" s="293"/>
      <c r="K215" s="293"/>
      <c r="L215" s="293"/>
      <c r="M215" s="293"/>
      <c r="N215" s="293"/>
      <c r="O215" s="293"/>
      <c r="P215" s="294"/>
    </row>
    <row r="216" spans="1:16" ht="13.5" customHeight="1" thickBot="1">
      <c r="A216" s="23" t="str">
        <f t="shared" si="6"/>
        <v>Dump Truck (10-12 yd3 ) (5)</v>
      </c>
      <c r="B216" s="426">
        <v>28.04</v>
      </c>
      <c r="C216" s="426">
        <v>28.04</v>
      </c>
      <c r="D216" s="426"/>
      <c r="E216" s="426"/>
      <c r="F216" s="426"/>
      <c r="G216" s="285"/>
      <c r="H216" s="285"/>
      <c r="I216" s="285"/>
      <c r="J216" s="285"/>
      <c r="K216" s="285"/>
      <c r="L216" s="285"/>
      <c r="M216" s="285"/>
      <c r="N216" s="285"/>
      <c r="O216" s="285"/>
      <c r="P216" s="286"/>
    </row>
    <row r="217" spans="1:16" ht="16.5" customHeight="1">
      <c r="A217" s="40"/>
      <c r="B217" s="204"/>
      <c r="C217" s="204"/>
      <c r="D217" s="204"/>
      <c r="E217" s="204"/>
      <c r="F217" s="204"/>
      <c r="G217" s="204"/>
      <c r="H217" s="204"/>
      <c r="I217" s="204"/>
      <c r="J217" s="204"/>
      <c r="K217" s="204"/>
      <c r="L217" s="204"/>
      <c r="M217" s="204"/>
      <c r="N217" s="204"/>
      <c r="O217" s="204"/>
      <c r="P217" s="205"/>
    </row>
    <row r="218" spans="1:16" ht="13.5" thickBot="1">
      <c r="A218" s="86" t="s">
        <v>190</v>
      </c>
      <c r="B218" s="288" t="s">
        <v>410</v>
      </c>
      <c r="C218" s="280" t="s">
        <v>410</v>
      </c>
      <c r="D218" s="280"/>
      <c r="E218" s="280"/>
      <c r="F218" s="280"/>
      <c r="G218" s="280"/>
      <c r="H218" s="280"/>
      <c r="I218" s="280"/>
      <c r="J218" s="280"/>
      <c r="K218" s="280"/>
      <c r="L218" s="280"/>
      <c r="M218" s="280"/>
      <c r="N218" s="280"/>
      <c r="O218" s="280"/>
      <c r="P218" s="262"/>
    </row>
    <row r="219" spans="1:16" ht="13.5" customHeight="1" thickBot="1">
      <c r="A219" s="5"/>
      <c r="B219" s="31"/>
      <c r="C219" s="31"/>
      <c r="D219" s="32"/>
      <c r="E219" s="32"/>
      <c r="F219" s="561"/>
      <c r="G219" s="561"/>
      <c r="H219" s="562"/>
      <c r="I219" s="562"/>
      <c r="J219" s="558"/>
      <c r="K219" s="558"/>
      <c r="L219" s="558"/>
      <c r="M219" s="558"/>
      <c r="N219" s="558"/>
      <c r="O219" s="558"/>
      <c r="P219" s="559"/>
    </row>
    <row r="220" spans="1:16" ht="27" customHeight="1" thickBot="1">
      <c r="A220" s="7" t="s">
        <v>354</v>
      </c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4"/>
    </row>
    <row r="221" spans="1:16" ht="16.5" customHeight="1">
      <c r="A221" s="600" t="s">
        <v>80</v>
      </c>
      <c r="B221" s="84" t="s">
        <v>259</v>
      </c>
      <c r="C221" s="84" t="s">
        <v>260</v>
      </c>
      <c r="D221" s="84" t="s">
        <v>261</v>
      </c>
      <c r="E221" s="84" t="s">
        <v>262</v>
      </c>
      <c r="F221" s="84" t="s">
        <v>263</v>
      </c>
      <c r="G221" s="84" t="s">
        <v>264</v>
      </c>
      <c r="H221" s="84" t="s">
        <v>265</v>
      </c>
      <c r="I221" s="84" t="s">
        <v>266</v>
      </c>
      <c r="J221" s="84" t="s">
        <v>267</v>
      </c>
      <c r="K221" s="84" t="s">
        <v>268</v>
      </c>
      <c r="L221" s="84" t="s">
        <v>269</v>
      </c>
      <c r="M221" s="84" t="s">
        <v>270</v>
      </c>
      <c r="N221" s="84" t="s">
        <v>271</v>
      </c>
      <c r="O221" s="84" t="s">
        <v>272</v>
      </c>
      <c r="P221" s="85" t="s">
        <v>273</v>
      </c>
    </row>
    <row r="222" spans="1:16" ht="13.5" customHeight="1" thickBot="1">
      <c r="A222" s="609"/>
      <c r="B222" s="88" t="str">
        <f t="shared" ref="B222:P222" si="7">IF(ISBLANK(VLOOKUP(B221,RegionNames,2,FALSE)),"",VLOOKUP(B221,RegionNames,2,FALSE))</f>
        <v>WA ARO</v>
      </c>
      <c r="C222" s="88" t="str">
        <f t="shared" si="7"/>
        <v>WA LOM - site costs</v>
      </c>
      <c r="D222" s="88" t="str">
        <f t="shared" si="7"/>
        <v/>
      </c>
      <c r="E222" s="88" t="str">
        <f t="shared" si="7"/>
        <v/>
      </c>
      <c r="F222" s="88" t="str">
        <f t="shared" si="7"/>
        <v/>
      </c>
      <c r="G222" s="88" t="str">
        <f t="shared" si="7"/>
        <v/>
      </c>
      <c r="H222" s="88" t="str">
        <f t="shared" si="7"/>
        <v/>
      </c>
      <c r="I222" s="88" t="str">
        <f t="shared" si="7"/>
        <v/>
      </c>
      <c r="J222" s="88" t="str">
        <f t="shared" si="7"/>
        <v/>
      </c>
      <c r="K222" s="88" t="str">
        <f t="shared" si="7"/>
        <v/>
      </c>
      <c r="L222" s="88" t="str">
        <f t="shared" si="7"/>
        <v/>
      </c>
      <c r="M222" s="88" t="str">
        <f t="shared" si="7"/>
        <v/>
      </c>
      <c r="N222" s="88" t="str">
        <f t="shared" si="7"/>
        <v/>
      </c>
      <c r="O222" s="88" t="str">
        <f t="shared" si="7"/>
        <v/>
      </c>
      <c r="P222" s="560" t="str">
        <f t="shared" si="7"/>
        <v/>
      </c>
    </row>
    <row r="223" spans="1:16" ht="16.5" customHeight="1" thickBot="1">
      <c r="A223" s="151" t="s">
        <v>41</v>
      </c>
      <c r="B223" s="12"/>
      <c r="C223" s="12"/>
      <c r="D223" s="12"/>
      <c r="E223" s="190"/>
      <c r="F223" s="190"/>
      <c r="G223" s="190"/>
      <c r="H223" s="190"/>
      <c r="I223" s="190"/>
      <c r="J223" s="190"/>
      <c r="K223" s="190"/>
      <c r="L223" s="190"/>
      <c r="M223" s="190"/>
      <c r="N223" s="190"/>
      <c r="O223" s="190"/>
      <c r="P223" s="191"/>
    </row>
    <row r="224" spans="1:16" ht="13.5" customHeight="1">
      <c r="A224" s="22" t="str">
        <f t="shared" ref="A224:A230" si="8">A13</f>
        <v>D6R</v>
      </c>
      <c r="B224" s="281">
        <v>3.3</v>
      </c>
      <c r="C224" s="281">
        <v>3.3</v>
      </c>
      <c r="D224" s="281"/>
      <c r="E224" s="281"/>
      <c r="F224" s="281"/>
      <c r="G224" s="281"/>
      <c r="H224" s="281"/>
      <c r="I224" s="281"/>
      <c r="J224" s="281"/>
      <c r="K224" s="281"/>
      <c r="L224" s="281"/>
      <c r="M224" s="281"/>
      <c r="N224" s="281"/>
      <c r="O224" s="281"/>
      <c r="P224" s="282"/>
    </row>
    <row r="225" spans="1:16" ht="13.5" customHeight="1">
      <c r="A225" s="22" t="str">
        <f t="shared" si="8"/>
        <v>D6R w/ Winch</v>
      </c>
      <c r="B225" s="287">
        <v>3.63</v>
      </c>
      <c r="C225" s="287">
        <v>3.63</v>
      </c>
      <c r="D225" s="287"/>
      <c r="E225" s="287"/>
      <c r="F225" s="287"/>
      <c r="G225" s="287"/>
      <c r="H225" s="287"/>
      <c r="I225" s="287"/>
      <c r="J225" s="287"/>
      <c r="K225" s="287"/>
      <c r="L225" s="287"/>
      <c r="M225" s="287"/>
      <c r="N225" s="287"/>
      <c r="O225" s="287"/>
      <c r="P225" s="553"/>
    </row>
    <row r="226" spans="1:16" ht="13.5" customHeight="1">
      <c r="A226" s="22" t="str">
        <f t="shared" si="8"/>
        <v>D7R</v>
      </c>
      <c r="B226" s="283">
        <v>4.9800000000000004</v>
      </c>
      <c r="C226" s="283">
        <v>4.9800000000000004</v>
      </c>
      <c r="D226" s="283"/>
      <c r="E226" s="283"/>
      <c r="F226" s="283"/>
      <c r="G226" s="283"/>
      <c r="H226" s="283"/>
      <c r="I226" s="283"/>
      <c r="J226" s="283"/>
      <c r="K226" s="283"/>
      <c r="L226" s="283"/>
      <c r="M226" s="283"/>
      <c r="N226" s="283"/>
      <c r="O226" s="283"/>
      <c r="P226" s="284"/>
    </row>
    <row r="227" spans="1:16" ht="13.5" customHeight="1">
      <c r="A227" s="22" t="str">
        <f t="shared" si="8"/>
        <v>D8R</v>
      </c>
      <c r="B227" s="283">
        <v>6.6</v>
      </c>
      <c r="C227" s="283">
        <v>6.6</v>
      </c>
      <c r="D227" s="283"/>
      <c r="E227" s="283"/>
      <c r="F227" s="283"/>
      <c r="G227" s="283"/>
      <c r="H227" s="283"/>
      <c r="I227" s="283"/>
      <c r="J227" s="283"/>
      <c r="K227" s="283"/>
      <c r="L227" s="283"/>
      <c r="M227" s="283"/>
      <c r="N227" s="283"/>
      <c r="O227" s="283"/>
      <c r="P227" s="284"/>
    </row>
    <row r="228" spans="1:16" ht="13.5" customHeight="1">
      <c r="A228" s="22" t="str">
        <f t="shared" si="8"/>
        <v>D9R</v>
      </c>
      <c r="B228" s="283">
        <v>9.89</v>
      </c>
      <c r="C228" s="283">
        <v>9.89</v>
      </c>
      <c r="D228" s="283"/>
      <c r="E228" s="283"/>
      <c r="F228" s="283"/>
      <c r="G228" s="283"/>
      <c r="H228" s="283"/>
      <c r="I228" s="283"/>
      <c r="J228" s="283"/>
      <c r="K228" s="283"/>
      <c r="L228" s="283"/>
      <c r="M228" s="283"/>
      <c r="N228" s="283"/>
      <c r="O228" s="283"/>
      <c r="P228" s="284"/>
    </row>
    <row r="229" spans="1:16" ht="13.5" customHeight="1">
      <c r="A229" s="22" t="str">
        <f t="shared" si="8"/>
        <v>D10R</v>
      </c>
      <c r="B229" s="283">
        <v>16.489999999999998</v>
      </c>
      <c r="C229" s="283">
        <v>16.489999999999998</v>
      </c>
      <c r="D229" s="283"/>
      <c r="E229" s="283"/>
      <c r="F229" s="283"/>
      <c r="G229" s="283"/>
      <c r="H229" s="283"/>
      <c r="I229" s="283"/>
      <c r="J229" s="283"/>
      <c r="K229" s="283"/>
      <c r="L229" s="283"/>
      <c r="M229" s="283"/>
      <c r="N229" s="283"/>
      <c r="O229" s="283"/>
      <c r="P229" s="284"/>
    </row>
    <row r="230" spans="1:16" ht="13.5" customHeight="1" thickBot="1">
      <c r="A230" s="22" t="str">
        <f t="shared" si="8"/>
        <v>D11R</v>
      </c>
      <c r="B230" s="285">
        <v>26.39</v>
      </c>
      <c r="C230" s="285">
        <v>26.39</v>
      </c>
      <c r="D230" s="285"/>
      <c r="E230" s="285"/>
      <c r="F230" s="285"/>
      <c r="G230" s="285"/>
      <c r="H230" s="285"/>
      <c r="I230" s="285"/>
      <c r="J230" s="285"/>
      <c r="K230" s="285"/>
      <c r="L230" s="285"/>
      <c r="M230" s="285"/>
      <c r="N230" s="285"/>
      <c r="O230" s="285"/>
      <c r="P230" s="286"/>
    </row>
    <row r="231" spans="1:16" ht="16.5" customHeight="1" thickBot="1">
      <c r="A231" s="17" t="s">
        <v>365</v>
      </c>
      <c r="B231" s="12"/>
      <c r="C231" s="12"/>
      <c r="D231" s="12"/>
      <c r="E231" s="190"/>
      <c r="F231" s="190"/>
      <c r="G231" s="190"/>
      <c r="H231" s="190"/>
      <c r="I231" s="190"/>
      <c r="J231" s="190"/>
      <c r="K231" s="190"/>
      <c r="L231" s="190"/>
      <c r="M231" s="190"/>
      <c r="N231" s="190"/>
      <c r="O231" s="190"/>
      <c r="P231" s="191"/>
    </row>
    <row r="232" spans="1:16" ht="13.5" customHeight="1">
      <c r="A232" s="22" t="str">
        <f>A21</f>
        <v>824G</v>
      </c>
      <c r="B232" s="281"/>
      <c r="C232" s="281"/>
      <c r="D232" s="281"/>
      <c r="E232" s="281"/>
      <c r="F232" s="281"/>
      <c r="G232" s="281"/>
      <c r="H232" s="281"/>
      <c r="I232" s="281"/>
      <c r="J232" s="281"/>
      <c r="K232" s="281"/>
      <c r="L232" s="281"/>
      <c r="M232" s="281"/>
      <c r="N232" s="281"/>
      <c r="O232" s="281"/>
      <c r="P232" s="282"/>
    </row>
    <row r="233" spans="1:16" ht="13.5" customHeight="1">
      <c r="A233" s="22" t="str">
        <f>A22</f>
        <v>834G</v>
      </c>
      <c r="B233" s="287"/>
      <c r="C233" s="287"/>
      <c r="D233" s="287"/>
      <c r="E233" s="287"/>
      <c r="F233" s="287"/>
      <c r="G233" s="287"/>
      <c r="H233" s="287"/>
      <c r="I233" s="287"/>
      <c r="J233" s="287"/>
      <c r="K233" s="287"/>
      <c r="L233" s="287"/>
      <c r="M233" s="287"/>
      <c r="N233" s="287"/>
      <c r="O233" s="287"/>
      <c r="P233" s="553"/>
    </row>
    <row r="234" spans="1:16" ht="13.5" customHeight="1">
      <c r="A234" s="570">
        <f>A23</f>
        <v>844</v>
      </c>
      <c r="B234" s="283"/>
      <c r="C234" s="283"/>
      <c r="D234" s="283"/>
      <c r="E234" s="283"/>
      <c r="F234" s="283"/>
      <c r="G234" s="283"/>
      <c r="H234" s="283"/>
      <c r="I234" s="283"/>
      <c r="J234" s="283"/>
      <c r="K234" s="283"/>
      <c r="L234" s="283"/>
      <c r="M234" s="283"/>
      <c r="N234" s="283"/>
      <c r="O234" s="283"/>
      <c r="P234" s="284"/>
    </row>
    <row r="235" spans="1:16" ht="13.5" customHeight="1" thickBot="1">
      <c r="A235" s="22" t="str">
        <f>A24</f>
        <v>854G</v>
      </c>
      <c r="B235" s="283"/>
      <c r="C235" s="283"/>
      <c r="D235" s="283"/>
      <c r="E235" s="283"/>
      <c r="F235" s="283"/>
      <c r="G235" s="283"/>
      <c r="H235" s="283"/>
      <c r="I235" s="283"/>
      <c r="J235" s="283"/>
      <c r="K235" s="283"/>
      <c r="L235" s="283"/>
      <c r="M235" s="283"/>
      <c r="N235" s="283"/>
      <c r="O235" s="283"/>
      <c r="P235" s="284"/>
    </row>
    <row r="236" spans="1:16" ht="16.5" customHeight="1" thickBot="1">
      <c r="A236" s="17" t="s">
        <v>48</v>
      </c>
      <c r="B236" s="190"/>
      <c r="C236" s="190"/>
      <c r="D236" s="190"/>
      <c r="E236" s="190"/>
      <c r="F236" s="190"/>
      <c r="G236" s="190"/>
      <c r="H236" s="190"/>
      <c r="I236" s="190"/>
      <c r="J236" s="190"/>
      <c r="K236" s="190"/>
      <c r="L236" s="190"/>
      <c r="M236" s="190"/>
      <c r="N236" s="190"/>
      <c r="O236" s="190"/>
      <c r="P236" s="191"/>
    </row>
    <row r="237" spans="1:16" ht="13.5" customHeight="1">
      <c r="A237" s="22" t="str">
        <f>A26</f>
        <v>120H</v>
      </c>
      <c r="B237" s="281">
        <v>2.8</v>
      </c>
      <c r="C237" s="281">
        <v>2.8</v>
      </c>
      <c r="D237" s="281"/>
      <c r="E237" s="281"/>
      <c r="F237" s="281"/>
      <c r="G237" s="281"/>
      <c r="H237" s="281"/>
      <c r="I237" s="281"/>
      <c r="J237" s="281"/>
      <c r="K237" s="281"/>
      <c r="L237" s="281"/>
      <c r="M237" s="281"/>
      <c r="N237" s="281"/>
      <c r="O237" s="281"/>
      <c r="P237" s="282"/>
    </row>
    <row r="238" spans="1:16" ht="13.5" customHeight="1">
      <c r="A238" s="22" t="str">
        <f>A27</f>
        <v>14G/H</v>
      </c>
      <c r="B238" s="283">
        <v>3.6</v>
      </c>
      <c r="C238" s="283">
        <v>3.6</v>
      </c>
      <c r="D238" s="283"/>
      <c r="E238" s="283"/>
      <c r="F238" s="283"/>
      <c r="G238" s="283"/>
      <c r="H238" s="283"/>
      <c r="I238" s="283"/>
      <c r="J238" s="283"/>
      <c r="K238" s="283"/>
      <c r="L238" s="283"/>
      <c r="M238" s="283"/>
      <c r="N238" s="283"/>
      <c r="O238" s="283"/>
      <c r="P238" s="284"/>
    </row>
    <row r="239" spans="1:16" ht="13.5" customHeight="1">
      <c r="A239" s="22" t="str">
        <f>A28</f>
        <v>16G/H</v>
      </c>
      <c r="B239" s="293">
        <v>5.58</v>
      </c>
      <c r="C239" s="293">
        <v>5.58</v>
      </c>
      <c r="D239" s="293"/>
      <c r="E239" s="293"/>
      <c r="F239" s="293"/>
      <c r="G239" s="293"/>
      <c r="H239" s="293"/>
      <c r="I239" s="293"/>
      <c r="J239" s="293"/>
      <c r="K239" s="293"/>
      <c r="L239" s="293"/>
      <c r="M239" s="293"/>
      <c r="N239" s="293"/>
      <c r="O239" s="293"/>
      <c r="P239" s="294"/>
    </row>
    <row r="240" spans="1:16" ht="13.5" customHeight="1" thickBot="1">
      <c r="A240" s="22" t="str">
        <f>A29</f>
        <v>24M</v>
      </c>
      <c r="B240" s="285">
        <v>7.86</v>
      </c>
      <c r="C240" s="285">
        <v>7.86</v>
      </c>
      <c r="D240" s="285"/>
      <c r="E240" s="285"/>
      <c r="F240" s="285"/>
      <c r="G240" s="285"/>
      <c r="H240" s="285"/>
      <c r="I240" s="285"/>
      <c r="J240" s="285"/>
      <c r="K240" s="285"/>
      <c r="L240" s="285"/>
      <c r="M240" s="285"/>
      <c r="N240" s="285"/>
      <c r="O240" s="285"/>
      <c r="P240" s="286"/>
    </row>
    <row r="241" spans="1:16" ht="16.5" customHeight="1" thickBot="1">
      <c r="A241" s="17" t="s">
        <v>51</v>
      </c>
      <c r="B241" s="190"/>
      <c r="C241" s="190"/>
      <c r="D241" s="190"/>
      <c r="E241" s="190"/>
      <c r="F241" s="190"/>
      <c r="G241" s="190"/>
      <c r="H241" s="190"/>
      <c r="I241" s="190"/>
      <c r="J241" s="190"/>
      <c r="K241" s="190"/>
      <c r="L241" s="190"/>
      <c r="M241" s="190"/>
      <c r="N241" s="190"/>
      <c r="O241" s="190"/>
      <c r="P241" s="191"/>
    </row>
    <row r="242" spans="1:16" s="73" customFormat="1" ht="13.5" customHeight="1">
      <c r="A242" s="22" t="str">
        <f t="shared" ref="A242:A248" si="9">A31</f>
        <v>312C</v>
      </c>
      <c r="B242" s="281">
        <v>2.8</v>
      </c>
      <c r="C242" s="281">
        <v>2.8</v>
      </c>
      <c r="D242" s="281"/>
      <c r="E242" s="281"/>
      <c r="F242" s="281"/>
      <c r="G242" s="281"/>
      <c r="H242" s="281"/>
      <c r="I242" s="281"/>
      <c r="J242" s="281"/>
      <c r="K242" s="281"/>
      <c r="L242" s="281"/>
      <c r="M242" s="281"/>
      <c r="N242" s="281"/>
      <c r="O242" s="281"/>
      <c r="P242" s="282"/>
    </row>
    <row r="243" spans="1:16" s="73" customFormat="1" ht="13.5" customHeight="1">
      <c r="A243" s="22" t="str">
        <f t="shared" si="9"/>
        <v>320C</v>
      </c>
      <c r="B243" s="283">
        <v>3.04</v>
      </c>
      <c r="C243" s="283">
        <v>3.04</v>
      </c>
      <c r="D243" s="283"/>
      <c r="E243" s="283"/>
      <c r="F243" s="283"/>
      <c r="G243" s="283"/>
      <c r="H243" s="283"/>
      <c r="I243" s="283"/>
      <c r="J243" s="283"/>
      <c r="K243" s="283"/>
      <c r="L243" s="283"/>
      <c r="M243" s="283"/>
      <c r="N243" s="283"/>
      <c r="O243" s="283"/>
      <c r="P243" s="284"/>
    </row>
    <row r="244" spans="1:16" s="73" customFormat="1" ht="13.5" customHeight="1">
      <c r="A244" s="22" t="str">
        <f t="shared" si="9"/>
        <v>325C</v>
      </c>
      <c r="B244" s="283">
        <v>5.07</v>
      </c>
      <c r="C244" s="283">
        <v>5.07</v>
      </c>
      <c r="D244" s="283"/>
      <c r="E244" s="283"/>
      <c r="F244" s="283"/>
      <c r="G244" s="283"/>
      <c r="H244" s="283"/>
      <c r="I244" s="283"/>
      <c r="J244" s="283"/>
      <c r="K244" s="283"/>
      <c r="L244" s="283"/>
      <c r="M244" s="283"/>
      <c r="N244" s="283"/>
      <c r="O244" s="283"/>
      <c r="P244" s="284"/>
    </row>
    <row r="245" spans="1:16" s="73" customFormat="1" ht="13.5" customHeight="1">
      <c r="A245" s="22" t="str">
        <f t="shared" si="9"/>
        <v>330C</v>
      </c>
      <c r="B245" s="283">
        <v>6.09</v>
      </c>
      <c r="C245" s="283">
        <v>6.09</v>
      </c>
      <c r="D245" s="283"/>
      <c r="E245" s="283"/>
      <c r="F245" s="283"/>
      <c r="G245" s="283"/>
      <c r="H245" s="283"/>
      <c r="I245" s="283"/>
      <c r="J245" s="283"/>
      <c r="K245" s="283"/>
      <c r="L245" s="283"/>
      <c r="M245" s="283"/>
      <c r="N245" s="283"/>
      <c r="O245" s="283"/>
      <c r="P245" s="284"/>
    </row>
    <row r="246" spans="1:16" ht="13.5" customHeight="1">
      <c r="A246" s="22" t="str">
        <f t="shared" si="9"/>
        <v>345B</v>
      </c>
      <c r="B246" s="283">
        <v>7.61</v>
      </c>
      <c r="C246" s="283">
        <v>7.61</v>
      </c>
      <c r="D246" s="283"/>
      <c r="E246" s="283"/>
      <c r="F246" s="283"/>
      <c r="G246" s="283"/>
      <c r="H246" s="283"/>
      <c r="I246" s="283"/>
      <c r="J246" s="283"/>
      <c r="K246" s="283"/>
      <c r="L246" s="283"/>
      <c r="M246" s="283"/>
      <c r="N246" s="283"/>
      <c r="O246" s="283"/>
      <c r="P246" s="284"/>
    </row>
    <row r="247" spans="1:16" ht="13.5" customHeight="1">
      <c r="A247" s="22" t="str">
        <f t="shared" si="9"/>
        <v>365BL</v>
      </c>
      <c r="B247" s="293">
        <v>8.6300000000000008</v>
      </c>
      <c r="C247" s="293">
        <v>8.6300000000000008</v>
      </c>
      <c r="D247" s="293"/>
      <c r="E247" s="293"/>
      <c r="F247" s="293"/>
      <c r="G247" s="293"/>
      <c r="H247" s="293"/>
      <c r="I247" s="293"/>
      <c r="J247" s="293"/>
      <c r="K247" s="293"/>
      <c r="L247" s="293"/>
      <c r="M247" s="293"/>
      <c r="N247" s="293"/>
      <c r="O247" s="293"/>
      <c r="P247" s="294"/>
    </row>
    <row r="248" spans="1:16" ht="13.5" customHeight="1" thickBot="1">
      <c r="A248" s="22" t="str">
        <f t="shared" si="9"/>
        <v>385BL</v>
      </c>
      <c r="B248" s="285">
        <v>10.15</v>
      </c>
      <c r="C248" s="285">
        <v>10.15</v>
      </c>
      <c r="D248" s="285"/>
      <c r="E248" s="285"/>
      <c r="F248" s="285"/>
      <c r="G248" s="285"/>
      <c r="H248" s="285"/>
      <c r="I248" s="285"/>
      <c r="J248" s="285"/>
      <c r="K248" s="285"/>
      <c r="L248" s="285"/>
      <c r="M248" s="285"/>
      <c r="N248" s="285"/>
      <c r="O248" s="285"/>
      <c r="P248" s="286"/>
    </row>
    <row r="249" spans="1:16" ht="16.5" customHeight="1" thickBot="1">
      <c r="A249" s="17" t="s">
        <v>56</v>
      </c>
      <c r="B249" s="190"/>
      <c r="C249" s="190"/>
      <c r="D249" s="190"/>
      <c r="E249" s="190"/>
      <c r="F249" s="190"/>
      <c r="G249" s="190"/>
      <c r="H249" s="190"/>
      <c r="I249" s="190"/>
      <c r="J249" s="190"/>
      <c r="K249" s="190"/>
      <c r="L249" s="190"/>
      <c r="M249" s="190"/>
      <c r="N249" s="190"/>
      <c r="O249" s="190"/>
      <c r="P249" s="191"/>
    </row>
    <row r="250" spans="1:16" ht="13.5" customHeight="1">
      <c r="A250" s="22" t="str">
        <f>A39</f>
        <v>631G</v>
      </c>
      <c r="B250" s="281">
        <v>7.61</v>
      </c>
      <c r="C250" s="281">
        <v>7.61</v>
      </c>
      <c r="D250" s="281"/>
      <c r="E250" s="281"/>
      <c r="F250" s="281"/>
      <c r="G250" s="281"/>
      <c r="H250" s="281"/>
      <c r="I250" s="281"/>
      <c r="J250" s="281"/>
      <c r="K250" s="281"/>
      <c r="L250" s="281"/>
      <c r="M250" s="281"/>
      <c r="N250" s="281"/>
      <c r="O250" s="281"/>
      <c r="P250" s="282"/>
    </row>
    <row r="251" spans="1:16" ht="13.5" customHeight="1" thickBot="1">
      <c r="A251" s="22" t="str">
        <f>A40</f>
        <v>637G PP</v>
      </c>
      <c r="B251" s="285">
        <v>7.61</v>
      </c>
      <c r="C251" s="285">
        <v>7.61</v>
      </c>
      <c r="D251" s="285"/>
      <c r="E251" s="285"/>
      <c r="F251" s="285"/>
      <c r="G251" s="285"/>
      <c r="H251" s="285"/>
      <c r="I251" s="285"/>
      <c r="J251" s="285"/>
      <c r="K251" s="285"/>
      <c r="L251" s="285"/>
      <c r="M251" s="285"/>
      <c r="N251" s="285"/>
      <c r="O251" s="285"/>
      <c r="P251" s="286"/>
    </row>
    <row r="252" spans="1:16" ht="16.5" customHeight="1" thickBot="1">
      <c r="A252" s="17" t="s">
        <v>59</v>
      </c>
      <c r="B252" s="190"/>
      <c r="C252" s="190"/>
      <c r="D252" s="190"/>
      <c r="E252" s="190"/>
      <c r="F252" s="190"/>
      <c r="G252" s="190"/>
      <c r="H252" s="190"/>
      <c r="I252" s="190"/>
      <c r="J252" s="190"/>
      <c r="K252" s="190"/>
      <c r="L252" s="190"/>
      <c r="M252" s="190"/>
      <c r="N252" s="190"/>
      <c r="O252" s="190"/>
      <c r="P252" s="191"/>
    </row>
    <row r="253" spans="1:16" ht="13.5" customHeight="1">
      <c r="A253" s="22" t="str">
        <f t="shared" ref="A253:A269" si="10">A42</f>
        <v>924G</v>
      </c>
      <c r="B253" s="281">
        <v>3.02</v>
      </c>
      <c r="C253" s="281">
        <v>3.02</v>
      </c>
      <c r="D253" s="281"/>
      <c r="E253" s="281"/>
      <c r="F253" s="281"/>
      <c r="G253" s="281"/>
      <c r="H253" s="281"/>
      <c r="I253" s="281"/>
      <c r="J253" s="281"/>
      <c r="K253" s="281"/>
      <c r="L253" s="281"/>
      <c r="M253" s="281"/>
      <c r="N253" s="281"/>
      <c r="O253" s="281"/>
      <c r="P253" s="282"/>
    </row>
    <row r="254" spans="1:16" ht="13.5" customHeight="1">
      <c r="A254" s="22" t="str">
        <f t="shared" si="10"/>
        <v>928G</v>
      </c>
      <c r="B254" s="283">
        <v>3.55</v>
      </c>
      <c r="C254" s="283">
        <v>3.55</v>
      </c>
      <c r="D254" s="283"/>
      <c r="E254" s="283"/>
      <c r="F254" s="283"/>
      <c r="G254" s="283"/>
      <c r="H254" s="283"/>
      <c r="I254" s="283"/>
      <c r="J254" s="283"/>
      <c r="K254" s="283"/>
      <c r="L254" s="283"/>
      <c r="M254" s="283"/>
      <c r="N254" s="283"/>
      <c r="O254" s="283"/>
      <c r="P254" s="284"/>
    </row>
    <row r="255" spans="1:16" ht="13.5" customHeight="1">
      <c r="A255" s="22" t="str">
        <f t="shared" si="10"/>
        <v>950G</v>
      </c>
      <c r="B255" s="287">
        <v>4.3099999999999996</v>
      </c>
      <c r="C255" s="287">
        <v>4.3099999999999996</v>
      </c>
      <c r="D255" s="287"/>
      <c r="E255" s="287"/>
      <c r="F255" s="287"/>
      <c r="G255" s="287"/>
      <c r="H255" s="287"/>
      <c r="I255" s="287"/>
      <c r="J255" s="287"/>
      <c r="K255" s="287"/>
      <c r="L255" s="287"/>
      <c r="M255" s="287"/>
      <c r="N255" s="287"/>
      <c r="O255" s="287"/>
      <c r="P255" s="553"/>
    </row>
    <row r="256" spans="1:16" ht="13.5" customHeight="1">
      <c r="A256" s="22" t="str">
        <f t="shared" si="10"/>
        <v>966G</v>
      </c>
      <c r="B256" s="283">
        <v>5.07</v>
      </c>
      <c r="C256" s="283">
        <v>5.07</v>
      </c>
      <c r="D256" s="283"/>
      <c r="E256" s="283"/>
      <c r="F256" s="283"/>
      <c r="G256" s="283"/>
      <c r="H256" s="283"/>
      <c r="I256" s="283"/>
      <c r="J256" s="283"/>
      <c r="K256" s="283"/>
      <c r="L256" s="283"/>
      <c r="M256" s="283"/>
      <c r="N256" s="283"/>
      <c r="O256" s="283"/>
      <c r="P256" s="284"/>
    </row>
    <row r="257" spans="1:16" ht="13.5" customHeight="1">
      <c r="A257" s="22" t="str">
        <f t="shared" si="10"/>
        <v>972G</v>
      </c>
      <c r="B257" s="283">
        <v>7.61</v>
      </c>
      <c r="C257" s="283">
        <v>7.61</v>
      </c>
      <c r="D257" s="283"/>
      <c r="E257" s="283"/>
      <c r="F257" s="283"/>
      <c r="G257" s="283"/>
      <c r="H257" s="283"/>
      <c r="I257" s="283"/>
      <c r="J257" s="283"/>
      <c r="K257" s="283"/>
      <c r="L257" s="283"/>
      <c r="M257" s="283"/>
      <c r="N257" s="283"/>
      <c r="O257" s="283"/>
      <c r="P257" s="284"/>
    </row>
    <row r="258" spans="1:16" ht="13.5" customHeight="1">
      <c r="A258" s="22" t="str">
        <f t="shared" si="10"/>
        <v>980G</v>
      </c>
      <c r="B258" s="283">
        <v>8.6300000000000008</v>
      </c>
      <c r="C258" s="283">
        <v>8.6300000000000008</v>
      </c>
      <c r="D258" s="283"/>
      <c r="E258" s="283"/>
      <c r="F258" s="283"/>
      <c r="G258" s="283"/>
      <c r="H258" s="283"/>
      <c r="I258" s="283"/>
      <c r="J258" s="283"/>
      <c r="K258" s="283"/>
      <c r="L258" s="283"/>
      <c r="M258" s="283"/>
      <c r="N258" s="283"/>
      <c r="O258" s="283"/>
      <c r="P258" s="284"/>
    </row>
    <row r="259" spans="1:16" ht="13.5" customHeight="1">
      <c r="A259" s="22" t="str">
        <f t="shared" si="10"/>
        <v>988G</v>
      </c>
      <c r="B259" s="283">
        <v>10.15</v>
      </c>
      <c r="C259" s="283">
        <v>10.15</v>
      </c>
      <c r="D259" s="283"/>
      <c r="E259" s="283"/>
      <c r="F259" s="283"/>
      <c r="G259" s="283"/>
      <c r="H259" s="283"/>
      <c r="I259" s="283"/>
      <c r="J259" s="283"/>
      <c r="K259" s="283"/>
      <c r="L259" s="283"/>
      <c r="M259" s="283"/>
      <c r="N259" s="283"/>
      <c r="O259" s="283"/>
      <c r="P259" s="284"/>
    </row>
    <row r="260" spans="1:16" ht="13.5" customHeight="1">
      <c r="A260" s="590">
        <f t="shared" si="10"/>
        <v>990</v>
      </c>
      <c r="B260" s="293">
        <v>11.23</v>
      </c>
      <c r="C260" s="293">
        <v>11.23</v>
      </c>
      <c r="D260" s="293"/>
      <c r="E260" s="293"/>
      <c r="F260" s="293"/>
      <c r="G260" s="293"/>
      <c r="H260" s="293"/>
      <c r="I260" s="293"/>
      <c r="J260" s="293"/>
      <c r="K260" s="293"/>
      <c r="L260" s="293"/>
      <c r="M260" s="293"/>
      <c r="N260" s="293"/>
      <c r="O260" s="293"/>
      <c r="P260" s="294"/>
    </row>
    <row r="261" spans="1:16" ht="13.5" customHeight="1">
      <c r="A261" s="22" t="str">
        <f t="shared" si="10"/>
        <v>992G</v>
      </c>
      <c r="B261" s="293">
        <v>12.69</v>
      </c>
      <c r="C261" s="293">
        <v>12.69</v>
      </c>
      <c r="D261" s="293"/>
      <c r="E261" s="293"/>
      <c r="F261" s="293"/>
      <c r="G261" s="293"/>
      <c r="H261" s="293"/>
      <c r="I261" s="293"/>
      <c r="J261" s="293"/>
      <c r="K261" s="293"/>
      <c r="L261" s="293"/>
      <c r="M261" s="293"/>
      <c r="N261" s="293"/>
      <c r="O261" s="293"/>
      <c r="P261" s="294"/>
    </row>
    <row r="262" spans="1:16" ht="13.5" customHeight="1">
      <c r="A262" s="22" t="str">
        <f t="shared" si="10"/>
        <v>994D</v>
      </c>
      <c r="B262" s="293">
        <v>23.47</v>
      </c>
      <c r="C262" s="293">
        <v>23.47</v>
      </c>
      <c r="D262" s="293"/>
      <c r="E262" s="293"/>
      <c r="F262" s="293"/>
      <c r="G262" s="293"/>
      <c r="H262" s="293"/>
      <c r="I262" s="293"/>
      <c r="J262" s="293"/>
      <c r="K262" s="293"/>
      <c r="L262" s="293"/>
      <c r="M262" s="293"/>
      <c r="N262" s="293"/>
      <c r="O262" s="293"/>
      <c r="P262" s="294"/>
    </row>
    <row r="263" spans="1:16" ht="13.5" customHeight="1" thickBot="1">
      <c r="A263" s="22" t="str">
        <f t="shared" si="10"/>
        <v>L-2350</v>
      </c>
      <c r="B263" s="285">
        <v>27.65</v>
      </c>
      <c r="C263" s="285">
        <v>27.65</v>
      </c>
      <c r="D263" s="285"/>
      <c r="E263" s="285"/>
      <c r="F263" s="285"/>
      <c r="G263" s="285"/>
      <c r="H263" s="285"/>
      <c r="I263" s="285"/>
      <c r="J263" s="285"/>
      <c r="K263" s="285"/>
      <c r="L263" s="285"/>
      <c r="M263" s="285"/>
      <c r="N263" s="285"/>
      <c r="O263" s="285"/>
      <c r="P263" s="286"/>
    </row>
    <row r="264" spans="1:16" ht="16.5" customHeight="1" thickBot="1">
      <c r="A264" s="17" t="s">
        <v>398</v>
      </c>
      <c r="B264" s="190"/>
      <c r="C264" s="190"/>
      <c r="D264" s="190"/>
      <c r="E264" s="190"/>
      <c r="F264" s="190"/>
      <c r="G264" s="190"/>
      <c r="H264" s="190"/>
      <c r="I264" s="190"/>
      <c r="J264" s="190"/>
      <c r="K264" s="190"/>
      <c r="L264" s="190"/>
      <c r="M264" s="190"/>
      <c r="N264" s="190"/>
      <c r="O264" s="190"/>
      <c r="P264" s="191"/>
    </row>
    <row r="265" spans="1:16" ht="13.5" customHeight="1">
      <c r="A265" s="22" t="str">
        <f t="shared" si="10"/>
        <v>KOM PC2000</v>
      </c>
      <c r="B265" s="281">
        <v>27.54</v>
      </c>
      <c r="C265" s="281">
        <v>27.54</v>
      </c>
      <c r="D265" s="281"/>
      <c r="E265" s="281"/>
      <c r="F265" s="281"/>
      <c r="G265" s="281"/>
      <c r="H265" s="281"/>
      <c r="I265" s="281"/>
      <c r="J265" s="281"/>
      <c r="K265" s="281"/>
      <c r="L265" s="281"/>
      <c r="M265" s="281"/>
      <c r="N265" s="281"/>
      <c r="O265" s="281"/>
      <c r="P265" s="282"/>
    </row>
    <row r="266" spans="1:16" ht="13.5" customHeight="1">
      <c r="A266" s="22" t="str">
        <f t="shared" si="10"/>
        <v>KOM PC3000</v>
      </c>
      <c r="B266" s="283">
        <v>28.1</v>
      </c>
      <c r="C266" s="283">
        <v>28.1</v>
      </c>
      <c r="D266" s="283"/>
      <c r="E266" s="283"/>
      <c r="F266" s="283"/>
      <c r="G266" s="283"/>
      <c r="H266" s="283"/>
      <c r="I266" s="283"/>
      <c r="J266" s="283"/>
      <c r="K266" s="283"/>
      <c r="L266" s="283"/>
      <c r="M266" s="283"/>
      <c r="N266" s="283"/>
      <c r="O266" s="283"/>
      <c r="P266" s="284"/>
    </row>
    <row r="267" spans="1:16" ht="13.5" customHeight="1">
      <c r="A267" s="22" t="str">
        <f t="shared" si="10"/>
        <v>KOM PC4000</v>
      </c>
      <c r="B267" s="287">
        <v>30.78</v>
      </c>
      <c r="C267" s="287">
        <v>30.78</v>
      </c>
      <c r="D267" s="287"/>
      <c r="E267" s="287"/>
      <c r="F267" s="287"/>
      <c r="G267" s="287"/>
      <c r="H267" s="287"/>
      <c r="I267" s="287"/>
      <c r="J267" s="287"/>
      <c r="K267" s="287"/>
      <c r="L267" s="287"/>
      <c r="M267" s="287"/>
      <c r="N267" s="287"/>
      <c r="O267" s="287"/>
      <c r="P267" s="553"/>
    </row>
    <row r="268" spans="1:16" ht="13.5" customHeight="1">
      <c r="A268" s="22" t="str">
        <f t="shared" si="10"/>
        <v>KOM PC5500</v>
      </c>
      <c r="B268" s="283">
        <v>33.119999999999997</v>
      </c>
      <c r="C268" s="283">
        <v>33.119999999999997</v>
      </c>
      <c r="D268" s="283"/>
      <c r="E268" s="283"/>
      <c r="F268" s="283"/>
      <c r="G268" s="283"/>
      <c r="H268" s="283"/>
      <c r="I268" s="283"/>
      <c r="J268" s="283"/>
      <c r="K268" s="283"/>
      <c r="L268" s="283"/>
      <c r="M268" s="283"/>
      <c r="N268" s="283"/>
      <c r="O268" s="283"/>
      <c r="P268" s="284"/>
    </row>
    <row r="269" spans="1:16" ht="13.5" customHeight="1" thickBot="1">
      <c r="A269" s="22" t="str">
        <f t="shared" si="10"/>
        <v>KOM PC8000</v>
      </c>
      <c r="B269" s="283">
        <v>45.78</v>
      </c>
      <c r="C269" s="283">
        <v>45.78</v>
      </c>
      <c r="D269" s="283"/>
      <c r="E269" s="283"/>
      <c r="F269" s="283"/>
      <c r="G269" s="283"/>
      <c r="H269" s="283"/>
      <c r="I269" s="283"/>
      <c r="J269" s="283"/>
      <c r="K269" s="283"/>
      <c r="L269" s="283"/>
      <c r="M269" s="283"/>
      <c r="N269" s="283"/>
      <c r="O269" s="283"/>
      <c r="P269" s="284"/>
    </row>
    <row r="270" spans="1:16" ht="16.5" customHeight="1" thickBot="1">
      <c r="A270" s="17" t="s">
        <v>145</v>
      </c>
      <c r="B270" s="190"/>
      <c r="C270" s="190"/>
      <c r="D270" s="190"/>
      <c r="E270" s="190"/>
      <c r="F270" s="190"/>
      <c r="G270" s="190"/>
      <c r="H270" s="190"/>
      <c r="I270" s="190"/>
      <c r="J270" s="190"/>
      <c r="K270" s="190"/>
      <c r="L270" s="190"/>
      <c r="M270" s="190"/>
      <c r="N270" s="190"/>
      <c r="O270" s="190"/>
      <c r="P270" s="191"/>
    </row>
    <row r="271" spans="1:16" ht="13.5" customHeight="1">
      <c r="A271" s="22" t="str">
        <f>A60</f>
        <v>H-120 (fits 325)</v>
      </c>
      <c r="B271" s="281">
        <v>2.54</v>
      </c>
      <c r="C271" s="281">
        <v>2.54</v>
      </c>
      <c r="D271" s="281"/>
      <c r="E271" s="281"/>
      <c r="F271" s="281"/>
      <c r="G271" s="281"/>
      <c r="H271" s="281"/>
      <c r="I271" s="281"/>
      <c r="J271" s="281"/>
      <c r="K271" s="281"/>
      <c r="L271" s="281"/>
      <c r="M271" s="281"/>
      <c r="N271" s="281"/>
      <c r="O271" s="281"/>
      <c r="P271" s="282"/>
    </row>
    <row r="272" spans="1:16" ht="13.5" customHeight="1">
      <c r="A272" s="22" t="str">
        <f>A61</f>
        <v>H-160 (fits 345)</v>
      </c>
      <c r="B272" s="283">
        <v>3.55</v>
      </c>
      <c r="C272" s="283">
        <v>3.55</v>
      </c>
      <c r="D272" s="283"/>
      <c r="E272" s="283"/>
      <c r="F272" s="283"/>
      <c r="G272" s="283"/>
      <c r="H272" s="283"/>
      <c r="I272" s="283"/>
      <c r="J272" s="283"/>
      <c r="K272" s="283"/>
      <c r="L272" s="283"/>
      <c r="M272" s="283"/>
      <c r="N272" s="283"/>
      <c r="O272" s="283"/>
      <c r="P272" s="284"/>
    </row>
    <row r="273" spans="1:16" ht="13.5" customHeight="1" thickBot="1">
      <c r="A273" s="22" t="str">
        <f>A62</f>
        <v>H-180 (fits 365/385)</v>
      </c>
      <c r="B273" s="285">
        <v>4.57</v>
      </c>
      <c r="C273" s="285">
        <v>4.57</v>
      </c>
      <c r="D273" s="285"/>
      <c r="E273" s="285"/>
      <c r="F273" s="285"/>
      <c r="G273" s="285"/>
      <c r="H273" s="285"/>
      <c r="I273" s="285"/>
      <c r="J273" s="285"/>
      <c r="K273" s="285"/>
      <c r="L273" s="285"/>
      <c r="M273" s="285"/>
      <c r="N273" s="285"/>
      <c r="O273" s="285"/>
      <c r="P273" s="286"/>
    </row>
    <row r="274" spans="1:16" ht="16.5" customHeight="1" thickBot="1">
      <c r="A274" s="17" t="str">
        <f t="shared" ref="A274:A281" si="11">A63</f>
        <v>Demolition Shears</v>
      </c>
      <c r="B274" s="190"/>
      <c r="C274" s="190"/>
      <c r="D274" s="190"/>
      <c r="E274" s="190"/>
      <c r="F274" s="190"/>
      <c r="G274" s="190"/>
      <c r="H274" s="190"/>
      <c r="I274" s="190"/>
      <c r="J274" s="190"/>
      <c r="K274" s="190"/>
      <c r="L274" s="190"/>
      <c r="M274" s="190"/>
      <c r="N274" s="190"/>
      <c r="O274" s="190"/>
      <c r="P274" s="191"/>
    </row>
    <row r="275" spans="1:16" ht="13.5" customHeight="1">
      <c r="A275" s="22" t="str">
        <f t="shared" si="11"/>
        <v>S340 (fits 322/325/330)</v>
      </c>
      <c r="B275" s="281">
        <v>2.5299999999999998</v>
      </c>
      <c r="C275" s="281">
        <v>2.5299999999999998</v>
      </c>
      <c r="D275" s="281"/>
      <c r="E275" s="281"/>
      <c r="F275" s="281"/>
      <c r="G275" s="281"/>
      <c r="H275" s="281"/>
      <c r="I275" s="281"/>
      <c r="J275" s="281"/>
      <c r="K275" s="281"/>
      <c r="L275" s="281"/>
      <c r="M275" s="281"/>
      <c r="N275" s="281"/>
      <c r="O275" s="281"/>
      <c r="P275" s="282"/>
    </row>
    <row r="276" spans="1:16" ht="13.5" customHeight="1">
      <c r="A276" s="22" t="str">
        <f t="shared" si="11"/>
        <v>S365 (fits 330/345)</v>
      </c>
      <c r="B276" s="283">
        <v>2.79</v>
      </c>
      <c r="C276" s="283">
        <v>2.79</v>
      </c>
      <c r="D276" s="283"/>
      <c r="E276" s="283"/>
      <c r="F276" s="283"/>
      <c r="G276" s="283"/>
      <c r="H276" s="283"/>
      <c r="I276" s="283"/>
      <c r="J276" s="283"/>
      <c r="K276" s="283"/>
      <c r="L276" s="283"/>
      <c r="M276" s="283"/>
      <c r="N276" s="283"/>
      <c r="O276" s="283"/>
      <c r="P276" s="284"/>
    </row>
    <row r="277" spans="1:16" ht="13.5" customHeight="1" thickBot="1">
      <c r="A277" s="22" t="str">
        <f t="shared" si="11"/>
        <v>S390 (fits 365/385)</v>
      </c>
      <c r="B277" s="285">
        <v>2.8</v>
      </c>
      <c r="C277" s="285">
        <v>2.8</v>
      </c>
      <c r="D277" s="285"/>
      <c r="E277" s="285"/>
      <c r="F277" s="285"/>
      <c r="G277" s="285"/>
      <c r="H277" s="285"/>
      <c r="I277" s="285"/>
      <c r="J277" s="285"/>
      <c r="K277" s="285"/>
      <c r="L277" s="285"/>
      <c r="M277" s="285"/>
      <c r="N277" s="285"/>
      <c r="O277" s="285"/>
      <c r="P277" s="286"/>
    </row>
    <row r="278" spans="1:16" ht="16.5" customHeight="1" thickBot="1">
      <c r="A278" s="17" t="str">
        <f t="shared" si="11"/>
        <v>Demolition Grapples</v>
      </c>
      <c r="B278" s="190"/>
      <c r="C278" s="190"/>
      <c r="D278" s="190"/>
      <c r="E278" s="190"/>
      <c r="F278" s="190"/>
      <c r="G278" s="190"/>
      <c r="H278" s="190"/>
      <c r="I278" s="190"/>
      <c r="J278" s="190"/>
      <c r="K278" s="190"/>
      <c r="L278" s="190"/>
      <c r="M278" s="190"/>
      <c r="N278" s="190"/>
      <c r="O278" s="190"/>
      <c r="P278" s="191"/>
    </row>
    <row r="279" spans="1:16" ht="13.5" customHeight="1">
      <c r="A279" s="22" t="str">
        <f t="shared" si="11"/>
        <v>G315 (fits 322/325)</v>
      </c>
      <c r="B279" s="281"/>
      <c r="C279" s="281"/>
      <c r="D279" s="281"/>
      <c r="E279" s="281"/>
      <c r="F279" s="281"/>
      <c r="G279" s="281"/>
      <c r="H279" s="281"/>
      <c r="I279" s="281"/>
      <c r="J279" s="281"/>
      <c r="K279" s="281"/>
      <c r="L279" s="281"/>
      <c r="M279" s="281"/>
      <c r="N279" s="281"/>
      <c r="O279" s="281"/>
      <c r="P279" s="282"/>
    </row>
    <row r="280" spans="1:16" ht="13.5" customHeight="1">
      <c r="A280" s="22" t="str">
        <f t="shared" si="11"/>
        <v>G320 (fits 325/330)</v>
      </c>
      <c r="B280" s="283"/>
      <c r="C280" s="283"/>
      <c r="D280" s="283"/>
      <c r="E280" s="283"/>
      <c r="F280" s="283"/>
      <c r="G280" s="283"/>
      <c r="H280" s="283"/>
      <c r="I280" s="283"/>
      <c r="J280" s="283"/>
      <c r="K280" s="283"/>
      <c r="L280" s="283"/>
      <c r="M280" s="283"/>
      <c r="N280" s="283"/>
      <c r="O280" s="283"/>
      <c r="P280" s="284"/>
    </row>
    <row r="281" spans="1:16" ht="13.5" customHeight="1" thickBot="1">
      <c r="A281" s="22" t="str">
        <f t="shared" si="11"/>
        <v>G330 (fits 345/365)</v>
      </c>
      <c r="B281" s="285"/>
      <c r="C281" s="285"/>
      <c r="D281" s="285"/>
      <c r="E281" s="285"/>
      <c r="F281" s="285"/>
      <c r="G281" s="285"/>
      <c r="H281" s="285"/>
      <c r="I281" s="285"/>
      <c r="J281" s="285"/>
      <c r="K281" s="285"/>
      <c r="L281" s="285"/>
      <c r="M281" s="285"/>
      <c r="N281" s="285"/>
      <c r="O281" s="285"/>
      <c r="P281" s="286"/>
    </row>
    <row r="282" spans="1:16" ht="16.5" customHeight="1" thickBot="1">
      <c r="A282" s="17" t="s">
        <v>68</v>
      </c>
      <c r="B282" s="190"/>
      <c r="C282" s="190"/>
      <c r="D282" s="190"/>
      <c r="E282" s="190"/>
      <c r="F282" s="190"/>
      <c r="G282" s="190"/>
      <c r="H282" s="190"/>
      <c r="I282" s="190"/>
      <c r="J282" s="190"/>
      <c r="K282" s="190"/>
      <c r="L282" s="190"/>
      <c r="M282" s="190"/>
      <c r="N282" s="190"/>
      <c r="O282" s="190"/>
      <c r="P282" s="191"/>
    </row>
    <row r="283" spans="1:16" ht="13.5" customHeight="1">
      <c r="A283" s="22" t="str">
        <f t="shared" ref="A283:A303" si="12">A72</f>
        <v>420D 4WD Backhoe</v>
      </c>
      <c r="B283" s="424"/>
      <c r="C283" s="424"/>
      <c r="D283" s="424"/>
      <c r="E283" s="424"/>
      <c r="F283" s="424"/>
      <c r="G283" s="281"/>
      <c r="H283" s="281"/>
      <c r="I283" s="281"/>
      <c r="J283" s="281"/>
      <c r="K283" s="281"/>
      <c r="L283" s="281"/>
      <c r="M283" s="281"/>
      <c r="N283" s="281"/>
      <c r="O283" s="281"/>
      <c r="P283" s="282"/>
    </row>
    <row r="284" spans="1:16" ht="13.5" customHeight="1">
      <c r="A284" s="22" t="str">
        <f t="shared" si="12"/>
        <v>428D 4WD Backhoe</v>
      </c>
      <c r="B284" s="425"/>
      <c r="C284" s="425"/>
      <c r="D284" s="425"/>
      <c r="E284" s="425"/>
      <c r="F284" s="425"/>
      <c r="G284" s="287"/>
      <c r="H284" s="287"/>
      <c r="I284" s="287"/>
      <c r="J284" s="287"/>
      <c r="K284" s="287"/>
      <c r="L284" s="287"/>
      <c r="M284" s="287"/>
      <c r="N284" s="287"/>
      <c r="O284" s="287"/>
      <c r="P284" s="553"/>
    </row>
    <row r="285" spans="1:16" ht="13.5" customHeight="1">
      <c r="A285" s="22" t="str">
        <f t="shared" si="12"/>
        <v>CS533E Vibratory Roller</v>
      </c>
      <c r="B285" s="287"/>
      <c r="C285" s="425"/>
      <c r="D285" s="425"/>
      <c r="E285" s="425"/>
      <c r="F285" s="425"/>
      <c r="G285" s="272"/>
      <c r="H285" s="272"/>
      <c r="I285" s="272"/>
      <c r="J285" s="272"/>
      <c r="K285" s="272"/>
      <c r="L285" s="272"/>
      <c r="M285" s="272"/>
      <c r="N285" s="272"/>
      <c r="O285" s="272"/>
      <c r="P285" s="273"/>
    </row>
    <row r="286" spans="1:16" ht="13.5" customHeight="1">
      <c r="A286" s="22" t="str">
        <f t="shared" si="12"/>
        <v>CS663E Vibratory Roller</v>
      </c>
      <c r="B286" s="287"/>
      <c r="C286" s="425"/>
      <c r="D286" s="425"/>
      <c r="E286" s="425"/>
      <c r="F286" s="425"/>
      <c r="G286" s="272"/>
      <c r="H286" s="272"/>
      <c r="I286" s="272"/>
      <c r="J286" s="272"/>
      <c r="K286" s="272"/>
      <c r="L286" s="272"/>
      <c r="M286" s="272"/>
      <c r="N286" s="272"/>
      <c r="O286" s="272"/>
      <c r="P286" s="273"/>
    </row>
    <row r="287" spans="1:16" ht="13.5" customHeight="1">
      <c r="A287" s="22" t="str">
        <f t="shared" si="12"/>
        <v>CP533E Sheepsfoot Compactor</v>
      </c>
      <c r="B287" s="287"/>
      <c r="C287" s="425"/>
      <c r="D287" s="425"/>
      <c r="E287" s="425"/>
      <c r="F287" s="425"/>
      <c r="G287" s="272"/>
      <c r="H287" s="272"/>
      <c r="I287" s="272"/>
      <c r="J287" s="272"/>
      <c r="K287" s="272"/>
      <c r="L287" s="272"/>
      <c r="M287" s="272"/>
      <c r="N287" s="272"/>
      <c r="O287" s="272"/>
      <c r="P287" s="273"/>
    </row>
    <row r="288" spans="1:16" ht="13.5" customHeight="1">
      <c r="A288" s="22" t="str">
        <f t="shared" si="12"/>
        <v>CP663E Sheepsfoot Compactor</v>
      </c>
      <c r="B288" s="287"/>
      <c r="C288" s="425"/>
      <c r="D288" s="425"/>
      <c r="E288" s="425"/>
      <c r="F288" s="425"/>
      <c r="G288" s="272"/>
      <c r="H288" s="272"/>
      <c r="I288" s="272"/>
      <c r="J288" s="272"/>
      <c r="K288" s="272"/>
      <c r="L288" s="272"/>
      <c r="M288" s="272"/>
      <c r="N288" s="272"/>
      <c r="O288" s="272"/>
      <c r="P288" s="273"/>
    </row>
    <row r="289" spans="1:16" ht="13.5" customHeight="1">
      <c r="A289" s="22" t="str">
        <f t="shared" si="12"/>
        <v>Light Truck - 1.5 Ton</v>
      </c>
      <c r="B289" s="287"/>
      <c r="C289" s="425"/>
      <c r="D289" s="425"/>
      <c r="E289" s="425"/>
      <c r="F289" s="425"/>
      <c r="G289" s="272"/>
      <c r="H289" s="272"/>
      <c r="I289" s="272"/>
      <c r="J289" s="272"/>
      <c r="K289" s="272"/>
      <c r="L289" s="272"/>
      <c r="M289" s="272"/>
      <c r="N289" s="272"/>
      <c r="O289" s="272"/>
      <c r="P289" s="273"/>
    </row>
    <row r="290" spans="1:16" ht="13.5" customHeight="1">
      <c r="A290" s="22" t="str">
        <f t="shared" si="12"/>
        <v>Supervisor's Truck</v>
      </c>
      <c r="B290" s="287"/>
      <c r="C290" s="425"/>
      <c r="D290" s="425"/>
      <c r="E290" s="425"/>
      <c r="F290" s="425"/>
      <c r="G290" s="272"/>
      <c r="H290" s="272"/>
      <c r="I290" s="272"/>
      <c r="J290" s="272"/>
      <c r="K290" s="272"/>
      <c r="L290" s="272"/>
      <c r="M290" s="272"/>
      <c r="N290" s="272"/>
      <c r="O290" s="272"/>
      <c r="P290" s="273"/>
    </row>
    <row r="291" spans="1:16" ht="13.5" customHeight="1">
      <c r="A291" s="22" t="str">
        <f t="shared" si="12"/>
        <v>Flatbed Truck</v>
      </c>
      <c r="B291" s="287"/>
      <c r="C291" s="425"/>
      <c r="D291" s="425"/>
      <c r="E291" s="425"/>
      <c r="F291" s="425"/>
      <c r="G291" s="272"/>
      <c r="H291" s="272"/>
      <c r="I291" s="272"/>
      <c r="J291" s="272"/>
      <c r="K291" s="272"/>
      <c r="L291" s="272"/>
      <c r="M291" s="272"/>
      <c r="N291" s="272"/>
      <c r="O291" s="272"/>
      <c r="P291" s="273"/>
    </row>
    <row r="292" spans="1:16" ht="13.5" customHeight="1">
      <c r="A292" s="22" t="str">
        <f t="shared" si="12"/>
        <v>Air Compressor + tools</v>
      </c>
      <c r="B292" s="200" t="s">
        <v>189</v>
      </c>
      <c r="C292" s="200" t="s">
        <v>189</v>
      </c>
      <c r="D292" s="200" t="s">
        <v>189</v>
      </c>
      <c r="E292" s="200" t="s">
        <v>189</v>
      </c>
      <c r="F292" s="200" t="s">
        <v>189</v>
      </c>
      <c r="G292" s="200" t="s">
        <v>189</v>
      </c>
      <c r="H292" s="200" t="s">
        <v>189</v>
      </c>
      <c r="I292" s="200" t="s">
        <v>189</v>
      </c>
      <c r="J292" s="200" t="s">
        <v>189</v>
      </c>
      <c r="K292" s="200" t="s">
        <v>189</v>
      </c>
      <c r="L292" s="200" t="s">
        <v>189</v>
      </c>
      <c r="M292" s="200" t="s">
        <v>189</v>
      </c>
      <c r="N292" s="200" t="s">
        <v>189</v>
      </c>
      <c r="O292" s="200" t="s">
        <v>189</v>
      </c>
      <c r="P292" s="201" t="s">
        <v>189</v>
      </c>
    </row>
    <row r="293" spans="1:16" ht="13.5" customHeight="1">
      <c r="A293" s="22" t="str">
        <f t="shared" si="12"/>
        <v>Welding Equipment</v>
      </c>
      <c r="B293" s="200" t="s">
        <v>189</v>
      </c>
      <c r="C293" s="200" t="s">
        <v>189</v>
      </c>
      <c r="D293" s="200" t="s">
        <v>189</v>
      </c>
      <c r="E293" s="200" t="s">
        <v>189</v>
      </c>
      <c r="F293" s="200" t="s">
        <v>189</v>
      </c>
      <c r="G293" s="200" t="s">
        <v>189</v>
      </c>
      <c r="H293" s="200" t="s">
        <v>189</v>
      </c>
      <c r="I293" s="200" t="s">
        <v>189</v>
      </c>
      <c r="J293" s="200" t="s">
        <v>189</v>
      </c>
      <c r="K293" s="200" t="s">
        <v>189</v>
      </c>
      <c r="L293" s="200" t="s">
        <v>189</v>
      </c>
      <c r="M293" s="200" t="s">
        <v>189</v>
      </c>
      <c r="N293" s="200" t="s">
        <v>189</v>
      </c>
      <c r="O293" s="200" t="s">
        <v>189</v>
      </c>
      <c r="P293" s="201" t="s">
        <v>189</v>
      </c>
    </row>
    <row r="294" spans="1:16" ht="13.5" customHeight="1">
      <c r="A294" s="22" t="str">
        <f t="shared" si="12"/>
        <v>Heavy Duty Drill Rig</v>
      </c>
      <c r="B294" s="287"/>
      <c r="C294" s="425"/>
      <c r="D294" s="425"/>
      <c r="E294" s="425"/>
      <c r="F294" s="425"/>
      <c r="G294" s="272"/>
      <c r="H294" s="272"/>
      <c r="I294" s="272"/>
      <c r="J294" s="272"/>
      <c r="K294" s="272"/>
      <c r="L294" s="272"/>
      <c r="M294" s="272"/>
      <c r="N294" s="272"/>
      <c r="O294" s="272"/>
      <c r="P294" s="273"/>
    </row>
    <row r="295" spans="1:16" ht="13.5" customHeight="1">
      <c r="A295" s="22" t="str">
        <f t="shared" si="12"/>
        <v>Pump (plugging) Drill Rig</v>
      </c>
      <c r="B295" s="287"/>
      <c r="C295" s="425"/>
      <c r="D295" s="425"/>
      <c r="E295" s="425"/>
      <c r="F295" s="425"/>
      <c r="G295" s="272"/>
      <c r="H295" s="272"/>
      <c r="I295" s="272"/>
      <c r="J295" s="272"/>
      <c r="K295" s="272"/>
      <c r="L295" s="272"/>
      <c r="M295" s="272"/>
      <c r="N295" s="272"/>
      <c r="O295" s="272"/>
      <c r="P295" s="273"/>
    </row>
    <row r="296" spans="1:16" ht="13.5" customHeight="1">
      <c r="A296" s="22" t="str">
        <f t="shared" si="12"/>
        <v>Concrete Pump</v>
      </c>
      <c r="B296" s="200" t="s">
        <v>189</v>
      </c>
      <c r="C296" s="200" t="s">
        <v>189</v>
      </c>
      <c r="D296" s="200" t="s">
        <v>189</v>
      </c>
      <c r="E296" s="200" t="s">
        <v>189</v>
      </c>
      <c r="F296" s="200" t="s">
        <v>189</v>
      </c>
      <c r="G296" s="200" t="s">
        <v>189</v>
      </c>
      <c r="H296" s="200" t="s">
        <v>189</v>
      </c>
      <c r="I296" s="200" t="s">
        <v>189</v>
      </c>
      <c r="J296" s="200" t="s">
        <v>189</v>
      </c>
      <c r="K296" s="200" t="s">
        <v>189</v>
      </c>
      <c r="L296" s="200" t="s">
        <v>189</v>
      </c>
      <c r="M296" s="200" t="s">
        <v>189</v>
      </c>
      <c r="N296" s="200" t="s">
        <v>189</v>
      </c>
      <c r="O296" s="200" t="s">
        <v>189</v>
      </c>
      <c r="P296" s="201" t="s">
        <v>189</v>
      </c>
    </row>
    <row r="297" spans="1:16" ht="13.5" customHeight="1">
      <c r="A297" s="22" t="str">
        <f t="shared" si="12"/>
        <v>Gas Engine Vibrator</v>
      </c>
      <c r="B297" s="200" t="s">
        <v>189</v>
      </c>
      <c r="C297" s="200" t="s">
        <v>189</v>
      </c>
      <c r="D297" s="200" t="s">
        <v>189</v>
      </c>
      <c r="E297" s="200" t="s">
        <v>189</v>
      </c>
      <c r="F297" s="200" t="s">
        <v>189</v>
      </c>
      <c r="G297" s="200" t="s">
        <v>189</v>
      </c>
      <c r="H297" s="200" t="s">
        <v>189</v>
      </c>
      <c r="I297" s="200" t="s">
        <v>189</v>
      </c>
      <c r="J297" s="200" t="s">
        <v>189</v>
      </c>
      <c r="K297" s="200" t="s">
        <v>189</v>
      </c>
      <c r="L297" s="200" t="s">
        <v>189</v>
      </c>
      <c r="M297" s="200" t="s">
        <v>189</v>
      </c>
      <c r="N297" s="200" t="s">
        <v>189</v>
      </c>
      <c r="O297" s="200" t="s">
        <v>189</v>
      </c>
      <c r="P297" s="201" t="s">
        <v>189</v>
      </c>
    </row>
    <row r="298" spans="1:16" ht="13.5" customHeight="1">
      <c r="A298" s="22" t="str">
        <f t="shared" si="12"/>
        <v>Generator 5KW</v>
      </c>
      <c r="B298" s="235" t="s">
        <v>189</v>
      </c>
      <c r="C298" s="235" t="s">
        <v>189</v>
      </c>
      <c r="D298" s="235" t="s">
        <v>189</v>
      </c>
      <c r="E298" s="235" t="s">
        <v>189</v>
      </c>
      <c r="F298" s="235" t="s">
        <v>189</v>
      </c>
      <c r="G298" s="235" t="s">
        <v>189</v>
      </c>
      <c r="H298" s="235" t="s">
        <v>189</v>
      </c>
      <c r="I298" s="235" t="s">
        <v>189</v>
      </c>
      <c r="J298" s="235" t="s">
        <v>189</v>
      </c>
      <c r="K298" s="235" t="s">
        <v>189</v>
      </c>
      <c r="L298" s="235" t="s">
        <v>189</v>
      </c>
      <c r="M298" s="235" t="s">
        <v>189</v>
      </c>
      <c r="N298" s="235" t="s">
        <v>189</v>
      </c>
      <c r="O298" s="235" t="s">
        <v>189</v>
      </c>
      <c r="P298" s="236" t="s">
        <v>189</v>
      </c>
    </row>
    <row r="299" spans="1:16" ht="13.5" customHeight="1">
      <c r="A299" s="22" t="str">
        <f t="shared" si="12"/>
        <v>HDEP Welder (pipe or liner)</v>
      </c>
      <c r="B299" s="235" t="s">
        <v>189</v>
      </c>
      <c r="C299" s="235" t="s">
        <v>189</v>
      </c>
      <c r="D299" s="235" t="s">
        <v>189</v>
      </c>
      <c r="E299" s="235" t="s">
        <v>189</v>
      </c>
      <c r="F299" s="235" t="s">
        <v>189</v>
      </c>
      <c r="G299" s="235" t="s">
        <v>189</v>
      </c>
      <c r="H299" s="235" t="s">
        <v>189</v>
      </c>
      <c r="I299" s="235" t="s">
        <v>189</v>
      </c>
      <c r="J299" s="235" t="s">
        <v>189</v>
      </c>
      <c r="K299" s="235" t="s">
        <v>189</v>
      </c>
      <c r="L299" s="235" t="s">
        <v>189</v>
      </c>
      <c r="M299" s="235" t="s">
        <v>189</v>
      </c>
      <c r="N299" s="235" t="s">
        <v>189</v>
      </c>
      <c r="O299" s="235" t="s">
        <v>189</v>
      </c>
      <c r="P299" s="236" t="s">
        <v>189</v>
      </c>
    </row>
    <row r="300" spans="1:16" ht="13.5" customHeight="1">
      <c r="A300" s="22" t="str">
        <f t="shared" si="12"/>
        <v>5 Ton Crane</v>
      </c>
      <c r="B300" s="287"/>
      <c r="C300" s="425"/>
      <c r="D300" s="425"/>
      <c r="E300" s="425"/>
      <c r="F300" s="425"/>
      <c r="G300" s="272"/>
      <c r="H300" s="272"/>
      <c r="I300" s="272"/>
      <c r="J300" s="272"/>
      <c r="K300" s="272"/>
      <c r="L300" s="272"/>
      <c r="M300" s="272"/>
      <c r="N300" s="272"/>
      <c r="O300" s="272"/>
      <c r="P300" s="273"/>
    </row>
    <row r="301" spans="1:16" ht="13.5" customHeight="1">
      <c r="A301" s="22" t="str">
        <f t="shared" si="12"/>
        <v>20 Ton Crane</v>
      </c>
      <c r="B301" s="287"/>
      <c r="C301" s="425"/>
      <c r="D301" s="425"/>
      <c r="E301" s="425"/>
      <c r="F301" s="425"/>
      <c r="G301" s="272"/>
      <c r="H301" s="272"/>
      <c r="I301" s="272"/>
      <c r="J301" s="272"/>
      <c r="K301" s="272"/>
      <c r="L301" s="272"/>
      <c r="M301" s="272"/>
      <c r="N301" s="272"/>
      <c r="O301" s="272"/>
      <c r="P301" s="273"/>
    </row>
    <row r="302" spans="1:16" ht="13.5" customHeight="1">
      <c r="A302" s="22" t="str">
        <f t="shared" si="12"/>
        <v>50 Ton Crane</v>
      </c>
      <c r="B302" s="287"/>
      <c r="C302" s="425"/>
      <c r="D302" s="425"/>
      <c r="E302" s="425"/>
      <c r="F302" s="425"/>
      <c r="G302" s="272"/>
      <c r="H302" s="272"/>
      <c r="I302" s="272"/>
      <c r="J302" s="272"/>
      <c r="K302" s="272"/>
      <c r="L302" s="272"/>
      <c r="M302" s="272"/>
      <c r="N302" s="272"/>
      <c r="O302" s="272"/>
      <c r="P302" s="273"/>
    </row>
    <row r="303" spans="1:16" ht="13.5" customHeight="1" thickBot="1">
      <c r="A303" s="65" t="str">
        <f t="shared" si="12"/>
        <v>120 Ton Crane</v>
      </c>
      <c r="B303" s="287"/>
      <c r="C303" s="425"/>
      <c r="D303" s="425"/>
      <c r="E303" s="425"/>
      <c r="F303" s="425"/>
      <c r="G303" s="272"/>
      <c r="H303" s="272"/>
      <c r="I303" s="272"/>
      <c r="J303" s="272"/>
      <c r="K303" s="272"/>
      <c r="L303" s="272"/>
      <c r="M303" s="272"/>
      <c r="N303" s="272"/>
      <c r="O303" s="272"/>
      <c r="P303" s="273"/>
    </row>
    <row r="304" spans="1:16" ht="16.5" customHeight="1" thickBot="1">
      <c r="A304" s="17" t="s">
        <v>65</v>
      </c>
      <c r="B304" s="190"/>
      <c r="C304" s="190"/>
      <c r="D304" s="190"/>
      <c r="E304" s="190"/>
      <c r="F304" s="190"/>
      <c r="G304" s="190"/>
      <c r="H304" s="190"/>
      <c r="I304" s="190"/>
      <c r="J304" s="190"/>
      <c r="K304" s="190"/>
      <c r="L304" s="190"/>
      <c r="M304" s="190"/>
      <c r="N304" s="190"/>
      <c r="O304" s="190"/>
      <c r="P304" s="191"/>
    </row>
    <row r="305" spans="1:16" ht="13.5" customHeight="1">
      <c r="A305" s="22" t="str">
        <f t="shared" ref="A305:A319" si="13">A94</f>
        <v>725 (articulated)</v>
      </c>
      <c r="B305" s="283">
        <v>2.33</v>
      </c>
      <c r="C305" s="283">
        <v>2.33</v>
      </c>
      <c r="D305" s="283"/>
      <c r="E305" s="283"/>
      <c r="F305" s="283"/>
      <c r="G305" s="283"/>
      <c r="H305" s="283"/>
      <c r="I305" s="283"/>
      <c r="J305" s="283"/>
      <c r="K305" s="283"/>
      <c r="L305" s="283"/>
      <c r="M305" s="283"/>
      <c r="N305" s="283"/>
      <c r="O305" s="283"/>
      <c r="P305" s="284"/>
    </row>
    <row r="306" spans="1:16" ht="13.5" customHeight="1">
      <c r="A306" s="22" t="str">
        <f t="shared" si="13"/>
        <v>730  (articulated)</v>
      </c>
      <c r="B306" s="283">
        <v>2.44</v>
      </c>
      <c r="C306" s="283">
        <v>2.44</v>
      </c>
      <c r="D306" s="283"/>
      <c r="E306" s="283"/>
      <c r="F306" s="283"/>
      <c r="G306" s="283"/>
      <c r="H306" s="283"/>
      <c r="I306" s="283"/>
      <c r="J306" s="283"/>
      <c r="K306" s="283"/>
      <c r="L306" s="283"/>
      <c r="M306" s="283"/>
      <c r="N306" s="283"/>
      <c r="O306" s="283"/>
      <c r="P306" s="284"/>
    </row>
    <row r="307" spans="1:16" ht="13.5" customHeight="1">
      <c r="A307" s="22" t="str">
        <f t="shared" si="13"/>
        <v>735 (articulated)</v>
      </c>
      <c r="B307" s="283">
        <v>2.54</v>
      </c>
      <c r="C307" s="283">
        <v>2.54</v>
      </c>
      <c r="D307" s="283"/>
      <c r="E307" s="283"/>
      <c r="F307" s="283"/>
      <c r="G307" s="283"/>
      <c r="H307" s="283"/>
      <c r="I307" s="283"/>
      <c r="J307" s="283"/>
      <c r="K307" s="283"/>
      <c r="L307" s="283"/>
      <c r="M307" s="283"/>
      <c r="N307" s="283"/>
      <c r="O307" s="283"/>
      <c r="P307" s="284"/>
    </row>
    <row r="308" spans="1:16" ht="13.5" customHeight="1">
      <c r="A308" s="22" t="str">
        <f t="shared" si="13"/>
        <v>740 (articulated)</v>
      </c>
      <c r="B308" s="283">
        <v>2.64</v>
      </c>
      <c r="C308" s="283">
        <v>2.64</v>
      </c>
      <c r="D308" s="283"/>
      <c r="E308" s="283"/>
      <c r="F308" s="283"/>
      <c r="G308" s="283"/>
      <c r="H308" s="283"/>
      <c r="I308" s="283"/>
      <c r="J308" s="283"/>
      <c r="K308" s="283"/>
      <c r="L308" s="283"/>
      <c r="M308" s="283"/>
      <c r="N308" s="283"/>
      <c r="O308" s="283"/>
      <c r="P308" s="284"/>
    </row>
    <row r="309" spans="1:16" ht="13.5" customHeight="1">
      <c r="A309" s="22" t="str">
        <f t="shared" si="13"/>
        <v>769D</v>
      </c>
      <c r="B309" s="283">
        <v>2.92</v>
      </c>
      <c r="C309" s="283">
        <v>2.92</v>
      </c>
      <c r="D309" s="283"/>
      <c r="E309" s="283"/>
      <c r="F309" s="283"/>
      <c r="G309" s="283"/>
      <c r="H309" s="283"/>
      <c r="I309" s="283"/>
      <c r="J309" s="283"/>
      <c r="K309" s="283"/>
      <c r="L309" s="283"/>
      <c r="M309" s="283"/>
      <c r="N309" s="283"/>
      <c r="O309" s="283"/>
      <c r="P309" s="284"/>
    </row>
    <row r="310" spans="1:16" ht="13.5" customHeight="1">
      <c r="A310" s="22" t="str">
        <f t="shared" si="13"/>
        <v>773E</v>
      </c>
      <c r="B310" s="283">
        <v>4.0599999999999996</v>
      </c>
      <c r="C310" s="283">
        <v>4.0599999999999996</v>
      </c>
      <c r="D310" s="283"/>
      <c r="E310" s="283"/>
      <c r="F310" s="283"/>
      <c r="G310" s="283"/>
      <c r="H310" s="283"/>
      <c r="I310" s="283"/>
      <c r="J310" s="283"/>
      <c r="K310" s="283"/>
      <c r="L310" s="283"/>
      <c r="M310" s="283"/>
      <c r="N310" s="283"/>
      <c r="O310" s="283"/>
      <c r="P310" s="284"/>
    </row>
    <row r="311" spans="1:16" ht="13.5" customHeight="1">
      <c r="A311" s="22" t="str">
        <f t="shared" si="13"/>
        <v>777D</v>
      </c>
      <c r="B311" s="283">
        <v>5.25</v>
      </c>
      <c r="C311" s="283">
        <v>5.25</v>
      </c>
      <c r="D311" s="283"/>
      <c r="E311" s="283"/>
      <c r="F311" s="283"/>
      <c r="G311" s="283"/>
      <c r="H311" s="283"/>
      <c r="I311" s="283"/>
      <c r="J311" s="283"/>
      <c r="K311" s="283"/>
      <c r="L311" s="283"/>
      <c r="M311" s="283"/>
      <c r="N311" s="283"/>
      <c r="O311" s="283"/>
      <c r="P311" s="284"/>
    </row>
    <row r="312" spans="1:16" ht="13.5" customHeight="1">
      <c r="A312" s="22" t="str">
        <f t="shared" si="13"/>
        <v>785C</v>
      </c>
      <c r="B312" s="283">
        <v>8.1199999999999992</v>
      </c>
      <c r="C312" s="283">
        <v>8.1199999999999992</v>
      </c>
      <c r="D312" s="283"/>
      <c r="E312" s="283"/>
      <c r="F312" s="283"/>
      <c r="G312" s="283"/>
      <c r="H312" s="283"/>
      <c r="I312" s="283"/>
      <c r="J312" s="283"/>
      <c r="K312" s="283"/>
      <c r="L312" s="283"/>
      <c r="M312" s="283"/>
      <c r="N312" s="283"/>
      <c r="O312" s="283"/>
      <c r="P312" s="284"/>
    </row>
    <row r="313" spans="1:16" ht="13.5" customHeight="1">
      <c r="A313" s="22" t="str">
        <f t="shared" si="13"/>
        <v>793C</v>
      </c>
      <c r="B313" s="283">
        <v>12</v>
      </c>
      <c r="C313" s="283">
        <v>12</v>
      </c>
      <c r="D313" s="283"/>
      <c r="E313" s="283"/>
      <c r="F313" s="283"/>
      <c r="G313" s="283"/>
      <c r="H313" s="283"/>
      <c r="I313" s="283"/>
      <c r="J313" s="283"/>
      <c r="K313" s="283"/>
      <c r="L313" s="283"/>
      <c r="M313" s="283"/>
      <c r="N313" s="283"/>
      <c r="O313" s="283"/>
      <c r="P313" s="284"/>
    </row>
    <row r="314" spans="1:16" ht="13.5" customHeight="1">
      <c r="A314" s="22" t="str">
        <f t="shared" si="13"/>
        <v>797B</v>
      </c>
      <c r="B314" s="283">
        <v>15</v>
      </c>
      <c r="C314" s="283">
        <v>15</v>
      </c>
      <c r="D314" s="283"/>
      <c r="E314" s="283"/>
      <c r="F314" s="283"/>
      <c r="G314" s="283"/>
      <c r="H314" s="283"/>
      <c r="I314" s="283"/>
      <c r="J314" s="283"/>
      <c r="K314" s="283"/>
      <c r="L314" s="283"/>
      <c r="M314" s="283"/>
      <c r="N314" s="283"/>
      <c r="O314" s="283"/>
      <c r="P314" s="284"/>
    </row>
    <row r="315" spans="1:16" ht="13.5" customHeight="1">
      <c r="A315" s="22" t="str">
        <f t="shared" si="13"/>
        <v>613E (5,000 gal) Water Wagon</v>
      </c>
      <c r="B315" s="283"/>
      <c r="C315" s="283"/>
      <c r="D315" s="283"/>
      <c r="E315" s="283"/>
      <c r="F315" s="283"/>
      <c r="G315" s="283"/>
      <c r="H315" s="283"/>
      <c r="I315" s="283"/>
      <c r="J315" s="283"/>
      <c r="K315" s="283"/>
      <c r="L315" s="283"/>
      <c r="M315" s="283"/>
      <c r="N315" s="283"/>
      <c r="O315" s="283"/>
      <c r="P315" s="284"/>
    </row>
    <row r="316" spans="1:16" ht="13.5" customHeight="1">
      <c r="A316" s="22" t="str">
        <f t="shared" si="13"/>
        <v>621E (8,000 gal) Water Wagon</v>
      </c>
      <c r="B316" s="283"/>
      <c r="C316" s="283"/>
      <c r="D316" s="283"/>
      <c r="E316" s="283"/>
      <c r="F316" s="283"/>
      <c r="G316" s="283"/>
      <c r="H316" s="283"/>
      <c r="I316" s="283"/>
      <c r="J316" s="283"/>
      <c r="K316" s="283"/>
      <c r="L316" s="283"/>
      <c r="M316" s="283"/>
      <c r="N316" s="283"/>
      <c r="O316" s="283"/>
      <c r="P316" s="284"/>
    </row>
    <row r="317" spans="1:16" ht="13.5" customHeight="1">
      <c r="A317" s="22" t="str">
        <f t="shared" si="13"/>
        <v>777D Water Truck</v>
      </c>
      <c r="B317" s="283">
        <v>0</v>
      </c>
      <c r="C317" s="283">
        <v>0</v>
      </c>
      <c r="D317" s="283"/>
      <c r="E317" s="283"/>
      <c r="F317" s="283"/>
      <c r="G317" s="283"/>
      <c r="H317" s="283"/>
      <c r="I317" s="283"/>
      <c r="J317" s="283"/>
      <c r="K317" s="283"/>
      <c r="L317" s="283"/>
      <c r="M317" s="283"/>
      <c r="N317" s="283"/>
      <c r="O317" s="283"/>
      <c r="P317" s="284"/>
    </row>
    <row r="318" spans="1:16" ht="13.5" customHeight="1">
      <c r="A318" s="22" t="str">
        <f t="shared" si="13"/>
        <v>785C Water Truck</v>
      </c>
      <c r="B318" s="283">
        <v>0</v>
      </c>
      <c r="C318" s="283">
        <v>0</v>
      </c>
      <c r="D318" s="283"/>
      <c r="E318" s="283"/>
      <c r="F318" s="283"/>
      <c r="G318" s="283"/>
      <c r="H318" s="283"/>
      <c r="I318" s="283"/>
      <c r="J318" s="283"/>
      <c r="K318" s="283"/>
      <c r="L318" s="283"/>
      <c r="M318" s="283"/>
      <c r="N318" s="283"/>
      <c r="O318" s="283"/>
      <c r="P318" s="284"/>
    </row>
    <row r="319" spans="1:16" ht="13.5" customHeight="1" thickBot="1">
      <c r="A319" s="22" t="str">
        <f t="shared" si="13"/>
        <v>Dump Truck (10-12 yd3 ) (5)</v>
      </c>
      <c r="B319" s="285">
        <v>1.1200000000000001</v>
      </c>
      <c r="C319" s="285">
        <v>1.1200000000000001</v>
      </c>
      <c r="D319" s="285"/>
      <c r="E319" s="285"/>
      <c r="F319" s="285"/>
      <c r="G319" s="285"/>
      <c r="H319" s="285"/>
      <c r="I319" s="285"/>
      <c r="J319" s="285"/>
      <c r="K319" s="285"/>
      <c r="L319" s="285"/>
      <c r="M319" s="285"/>
      <c r="N319" s="285"/>
      <c r="O319" s="285"/>
      <c r="P319" s="286"/>
    </row>
    <row r="320" spans="1:16">
      <c r="A320" s="152" t="s">
        <v>81</v>
      </c>
      <c r="B320" s="206"/>
      <c r="C320" s="206"/>
      <c r="D320" s="206"/>
      <c r="E320" s="206"/>
      <c r="F320" s="206"/>
      <c r="G320" s="206"/>
      <c r="H320" s="206"/>
      <c r="I320" s="206"/>
      <c r="J320" s="206"/>
      <c r="K320" s="206"/>
      <c r="L320" s="206"/>
      <c r="M320" s="206"/>
      <c r="N320" s="206"/>
      <c r="O320" s="206"/>
      <c r="P320" s="207"/>
    </row>
    <row r="321" spans="1:16" ht="13.5" thickBot="1">
      <c r="A321" s="153" t="s">
        <v>191</v>
      </c>
      <c r="B321" s="289" t="s">
        <v>384</v>
      </c>
      <c r="C321" s="289" t="s">
        <v>384</v>
      </c>
      <c r="D321" s="289" t="s">
        <v>384</v>
      </c>
      <c r="E321" s="289" t="s">
        <v>384</v>
      </c>
      <c r="F321" s="289" t="s">
        <v>383</v>
      </c>
      <c r="G321" s="289"/>
      <c r="H321" s="289"/>
      <c r="I321" s="289"/>
      <c r="J321" s="289"/>
      <c r="K321" s="289"/>
      <c r="L321" s="289"/>
      <c r="M321" s="289"/>
      <c r="N321" s="289"/>
      <c r="O321" s="289"/>
      <c r="P321" s="290"/>
    </row>
    <row r="322" spans="1:16" ht="13.5" customHeight="1" thickBot="1">
      <c r="A322" s="100"/>
      <c r="B322" s="35"/>
      <c r="C322" s="35"/>
      <c r="D322" s="35"/>
      <c r="E322" s="558"/>
      <c r="F322" s="558"/>
      <c r="G322" s="558"/>
      <c r="H322" s="558"/>
      <c r="I322" s="558"/>
      <c r="J322" s="558"/>
      <c r="K322" s="558"/>
      <c r="L322" s="558"/>
      <c r="M322" s="558"/>
      <c r="N322" s="558"/>
      <c r="O322" s="558"/>
      <c r="P322" s="559"/>
    </row>
    <row r="323" spans="1:16" ht="27" customHeight="1" thickBot="1">
      <c r="A323" s="7" t="s">
        <v>352</v>
      </c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4"/>
    </row>
    <row r="324" spans="1:16" ht="13.5" customHeight="1">
      <c r="A324" s="600" t="s">
        <v>80</v>
      </c>
      <c r="B324" s="84" t="s">
        <v>259</v>
      </c>
      <c r="C324" s="84" t="s">
        <v>260</v>
      </c>
      <c r="D324" s="84" t="s">
        <v>261</v>
      </c>
      <c r="E324" s="84" t="s">
        <v>262</v>
      </c>
      <c r="F324" s="84" t="s">
        <v>263</v>
      </c>
      <c r="G324" s="84" t="s">
        <v>264</v>
      </c>
      <c r="H324" s="84" t="s">
        <v>265</v>
      </c>
      <c r="I324" s="84" t="s">
        <v>266</v>
      </c>
      <c r="J324" s="84" t="s">
        <v>267</v>
      </c>
      <c r="K324" s="84" t="s">
        <v>268</v>
      </c>
      <c r="L324" s="84" t="s">
        <v>269</v>
      </c>
      <c r="M324" s="84" t="s">
        <v>270</v>
      </c>
      <c r="N324" s="84" t="s">
        <v>271</v>
      </c>
      <c r="O324" s="84" t="s">
        <v>272</v>
      </c>
      <c r="P324" s="85" t="s">
        <v>273</v>
      </c>
    </row>
    <row r="325" spans="1:16" ht="13.5" customHeight="1" thickBot="1">
      <c r="A325" s="601"/>
      <c r="B325" s="88" t="str">
        <f t="shared" ref="B325:P325" si="14">IF(ISBLANK(VLOOKUP(B324,RegionNames,2,FALSE)),"",VLOOKUP(B324,RegionNames,2,FALSE))</f>
        <v>WA ARO</v>
      </c>
      <c r="C325" s="88" t="str">
        <f t="shared" si="14"/>
        <v>WA LOM - site costs</v>
      </c>
      <c r="D325" s="88" t="str">
        <f t="shared" si="14"/>
        <v/>
      </c>
      <c r="E325" s="88" t="str">
        <f t="shared" si="14"/>
        <v/>
      </c>
      <c r="F325" s="88" t="str">
        <f t="shared" si="14"/>
        <v/>
      </c>
      <c r="G325" s="88" t="str">
        <f t="shared" si="14"/>
        <v/>
      </c>
      <c r="H325" s="88" t="str">
        <f t="shared" si="14"/>
        <v/>
      </c>
      <c r="I325" s="88" t="str">
        <f t="shared" si="14"/>
        <v/>
      </c>
      <c r="J325" s="88" t="str">
        <f t="shared" si="14"/>
        <v/>
      </c>
      <c r="K325" s="88" t="str">
        <f t="shared" si="14"/>
        <v/>
      </c>
      <c r="L325" s="88" t="str">
        <f t="shared" si="14"/>
        <v/>
      </c>
      <c r="M325" s="88" t="str">
        <f t="shared" si="14"/>
        <v/>
      </c>
      <c r="N325" s="88" t="str">
        <f t="shared" si="14"/>
        <v/>
      </c>
      <c r="O325" s="88" t="str">
        <f t="shared" si="14"/>
        <v/>
      </c>
      <c r="P325" s="560" t="str">
        <f t="shared" si="14"/>
        <v/>
      </c>
    </row>
    <row r="326" spans="1:16" ht="16.5" customHeight="1" thickBot="1">
      <c r="A326" s="151" t="s">
        <v>41</v>
      </c>
      <c r="B326" s="198"/>
      <c r="C326" s="198"/>
      <c r="D326" s="198"/>
      <c r="E326" s="198"/>
      <c r="F326" s="198"/>
      <c r="G326" s="198"/>
      <c r="H326" s="198"/>
      <c r="I326" s="198"/>
      <c r="J326" s="198"/>
      <c r="K326" s="198"/>
      <c r="L326" s="198"/>
      <c r="M326" s="198"/>
      <c r="N326" s="198"/>
      <c r="O326" s="198"/>
      <c r="P326" s="199"/>
    </row>
    <row r="327" spans="1:16" ht="13.5" customHeight="1">
      <c r="A327" s="13" t="str">
        <f t="shared" ref="A327:A333" si="15">A13</f>
        <v>D6R</v>
      </c>
      <c r="B327" s="200" t="s">
        <v>189</v>
      </c>
      <c r="C327" s="200" t="s">
        <v>189</v>
      </c>
      <c r="D327" s="200" t="s">
        <v>189</v>
      </c>
      <c r="E327" s="200" t="s">
        <v>189</v>
      </c>
      <c r="F327" s="200" t="s">
        <v>189</v>
      </c>
      <c r="G327" s="200" t="s">
        <v>189</v>
      </c>
      <c r="H327" s="200" t="s">
        <v>189</v>
      </c>
      <c r="I327" s="200" t="s">
        <v>189</v>
      </c>
      <c r="J327" s="200" t="s">
        <v>189</v>
      </c>
      <c r="K327" s="200" t="s">
        <v>189</v>
      </c>
      <c r="L327" s="200" t="s">
        <v>189</v>
      </c>
      <c r="M327" s="200" t="s">
        <v>189</v>
      </c>
      <c r="N327" s="200" t="s">
        <v>189</v>
      </c>
      <c r="O327" s="200" t="s">
        <v>189</v>
      </c>
      <c r="P327" s="201" t="s">
        <v>189</v>
      </c>
    </row>
    <row r="328" spans="1:16" ht="13.5" customHeight="1">
      <c r="A328" s="19" t="str">
        <f t="shared" si="15"/>
        <v>D6R w/ Winch</v>
      </c>
      <c r="B328" s="200" t="s">
        <v>189</v>
      </c>
      <c r="C328" s="200" t="s">
        <v>189</v>
      </c>
      <c r="D328" s="200" t="s">
        <v>189</v>
      </c>
      <c r="E328" s="200" t="s">
        <v>189</v>
      </c>
      <c r="F328" s="200" t="s">
        <v>189</v>
      </c>
      <c r="G328" s="200" t="s">
        <v>189</v>
      </c>
      <c r="H328" s="200" t="s">
        <v>189</v>
      </c>
      <c r="I328" s="200" t="s">
        <v>189</v>
      </c>
      <c r="J328" s="200" t="s">
        <v>189</v>
      </c>
      <c r="K328" s="200" t="s">
        <v>189</v>
      </c>
      <c r="L328" s="200" t="s">
        <v>189</v>
      </c>
      <c r="M328" s="200" t="s">
        <v>189</v>
      </c>
      <c r="N328" s="200" t="s">
        <v>189</v>
      </c>
      <c r="O328" s="200" t="s">
        <v>189</v>
      </c>
      <c r="P328" s="201" t="s">
        <v>189</v>
      </c>
    </row>
    <row r="329" spans="1:16" ht="13.5" customHeight="1">
      <c r="A329" s="14" t="str">
        <f t="shared" si="15"/>
        <v>D7R</v>
      </c>
      <c r="B329" s="200" t="s">
        <v>189</v>
      </c>
      <c r="C329" s="200" t="s">
        <v>189</v>
      </c>
      <c r="D329" s="200" t="s">
        <v>189</v>
      </c>
      <c r="E329" s="200" t="s">
        <v>189</v>
      </c>
      <c r="F329" s="200" t="s">
        <v>189</v>
      </c>
      <c r="G329" s="200" t="s">
        <v>189</v>
      </c>
      <c r="H329" s="200" t="s">
        <v>189</v>
      </c>
      <c r="I329" s="200" t="s">
        <v>189</v>
      </c>
      <c r="J329" s="200" t="s">
        <v>189</v>
      </c>
      <c r="K329" s="200" t="s">
        <v>189</v>
      </c>
      <c r="L329" s="200" t="s">
        <v>189</v>
      </c>
      <c r="M329" s="200" t="s">
        <v>189</v>
      </c>
      <c r="N329" s="200" t="s">
        <v>189</v>
      </c>
      <c r="O329" s="200" t="s">
        <v>189</v>
      </c>
      <c r="P329" s="201" t="s">
        <v>189</v>
      </c>
    </row>
    <row r="330" spans="1:16" ht="13.5" customHeight="1">
      <c r="A330" s="14" t="str">
        <f t="shared" si="15"/>
        <v>D8R</v>
      </c>
      <c r="B330" s="200" t="s">
        <v>189</v>
      </c>
      <c r="C330" s="200" t="s">
        <v>189</v>
      </c>
      <c r="D330" s="200" t="s">
        <v>189</v>
      </c>
      <c r="E330" s="200" t="s">
        <v>189</v>
      </c>
      <c r="F330" s="200" t="s">
        <v>189</v>
      </c>
      <c r="G330" s="200" t="s">
        <v>189</v>
      </c>
      <c r="H330" s="200" t="s">
        <v>189</v>
      </c>
      <c r="I330" s="200" t="s">
        <v>189</v>
      </c>
      <c r="J330" s="200" t="s">
        <v>189</v>
      </c>
      <c r="K330" s="200" t="s">
        <v>189</v>
      </c>
      <c r="L330" s="200" t="s">
        <v>189</v>
      </c>
      <c r="M330" s="200" t="s">
        <v>189</v>
      </c>
      <c r="N330" s="200" t="s">
        <v>189</v>
      </c>
      <c r="O330" s="200" t="s">
        <v>189</v>
      </c>
      <c r="P330" s="201" t="s">
        <v>189</v>
      </c>
    </row>
    <row r="331" spans="1:16" ht="13.5" customHeight="1">
      <c r="A331" s="14" t="str">
        <f t="shared" si="15"/>
        <v>D9R</v>
      </c>
      <c r="B331" s="200" t="s">
        <v>189</v>
      </c>
      <c r="C331" s="200" t="s">
        <v>189</v>
      </c>
      <c r="D331" s="200" t="s">
        <v>189</v>
      </c>
      <c r="E331" s="200" t="s">
        <v>189</v>
      </c>
      <c r="F331" s="200" t="s">
        <v>189</v>
      </c>
      <c r="G331" s="200" t="s">
        <v>189</v>
      </c>
      <c r="H331" s="200" t="s">
        <v>189</v>
      </c>
      <c r="I331" s="200" t="s">
        <v>189</v>
      </c>
      <c r="J331" s="200" t="s">
        <v>189</v>
      </c>
      <c r="K331" s="200" t="s">
        <v>189</v>
      </c>
      <c r="L331" s="200" t="s">
        <v>189</v>
      </c>
      <c r="M331" s="200" t="s">
        <v>189</v>
      </c>
      <c r="N331" s="200" t="s">
        <v>189</v>
      </c>
      <c r="O331" s="200" t="s">
        <v>189</v>
      </c>
      <c r="P331" s="201" t="s">
        <v>189</v>
      </c>
    </row>
    <row r="332" spans="1:16" ht="13.5" customHeight="1">
      <c r="A332" s="15" t="str">
        <f t="shared" si="15"/>
        <v>D10R</v>
      </c>
      <c r="B332" s="200" t="s">
        <v>189</v>
      </c>
      <c r="C332" s="200" t="s">
        <v>189</v>
      </c>
      <c r="D332" s="200" t="s">
        <v>189</v>
      </c>
      <c r="E332" s="200" t="s">
        <v>189</v>
      </c>
      <c r="F332" s="200" t="s">
        <v>189</v>
      </c>
      <c r="G332" s="200" t="s">
        <v>189</v>
      </c>
      <c r="H332" s="200" t="s">
        <v>189</v>
      </c>
      <c r="I332" s="200" t="s">
        <v>189</v>
      </c>
      <c r="J332" s="200" t="s">
        <v>189</v>
      </c>
      <c r="K332" s="200" t="s">
        <v>189</v>
      </c>
      <c r="L332" s="200" t="s">
        <v>189</v>
      </c>
      <c r="M332" s="200" t="s">
        <v>189</v>
      </c>
      <c r="N332" s="200" t="s">
        <v>189</v>
      </c>
      <c r="O332" s="200" t="s">
        <v>189</v>
      </c>
      <c r="P332" s="201" t="s">
        <v>189</v>
      </c>
    </row>
    <row r="333" spans="1:16" ht="13.5" customHeight="1" thickBot="1">
      <c r="A333" s="16" t="str">
        <f t="shared" si="15"/>
        <v>D11R</v>
      </c>
      <c r="B333" s="202" t="s">
        <v>189</v>
      </c>
      <c r="C333" s="202" t="s">
        <v>189</v>
      </c>
      <c r="D333" s="202" t="s">
        <v>189</v>
      </c>
      <c r="E333" s="202" t="s">
        <v>189</v>
      </c>
      <c r="F333" s="202" t="s">
        <v>189</v>
      </c>
      <c r="G333" s="202" t="s">
        <v>189</v>
      </c>
      <c r="H333" s="202" t="s">
        <v>189</v>
      </c>
      <c r="I333" s="202" t="s">
        <v>189</v>
      </c>
      <c r="J333" s="202" t="s">
        <v>189</v>
      </c>
      <c r="K333" s="202" t="s">
        <v>189</v>
      </c>
      <c r="L333" s="202" t="s">
        <v>189</v>
      </c>
      <c r="M333" s="202" t="s">
        <v>189</v>
      </c>
      <c r="N333" s="202" t="s">
        <v>189</v>
      </c>
      <c r="O333" s="202" t="s">
        <v>189</v>
      </c>
      <c r="P333" s="203" t="s">
        <v>189</v>
      </c>
    </row>
    <row r="334" spans="1:16" ht="16.5" customHeight="1" thickBot="1">
      <c r="A334" s="17" t="s">
        <v>365</v>
      </c>
      <c r="B334" s="198"/>
      <c r="C334" s="198"/>
      <c r="D334" s="198"/>
      <c r="E334" s="198"/>
      <c r="F334" s="198"/>
      <c r="G334" s="198"/>
      <c r="H334" s="198"/>
      <c r="I334" s="198"/>
      <c r="J334" s="198"/>
      <c r="K334" s="198"/>
      <c r="L334" s="198"/>
      <c r="M334" s="198"/>
      <c r="N334" s="198"/>
      <c r="O334" s="198"/>
      <c r="P334" s="199"/>
    </row>
    <row r="335" spans="1:16" ht="13.5" customHeight="1">
      <c r="A335" s="13" t="str">
        <f t="shared" ref="A335:A344" si="16">A21</f>
        <v>824G</v>
      </c>
      <c r="B335" s="291"/>
      <c r="C335" s="291"/>
      <c r="D335" s="291"/>
      <c r="E335" s="291"/>
      <c r="F335" s="283"/>
      <c r="G335" s="283"/>
      <c r="H335" s="283"/>
      <c r="I335" s="283"/>
      <c r="J335" s="283"/>
      <c r="K335" s="283"/>
      <c r="L335" s="283"/>
      <c r="M335" s="283"/>
      <c r="N335" s="283"/>
      <c r="O335" s="283"/>
      <c r="P335" s="284"/>
    </row>
    <row r="336" spans="1:16" ht="13.5" customHeight="1">
      <c r="A336" s="19" t="str">
        <f t="shared" si="16"/>
        <v>834G</v>
      </c>
      <c r="B336" s="291"/>
      <c r="C336" s="291"/>
      <c r="D336" s="291"/>
      <c r="E336" s="291"/>
      <c r="F336" s="283"/>
      <c r="G336" s="283"/>
      <c r="H336" s="283"/>
      <c r="I336" s="283"/>
      <c r="J336" s="283"/>
      <c r="K336" s="283"/>
      <c r="L336" s="283"/>
      <c r="M336" s="283"/>
      <c r="N336" s="283"/>
      <c r="O336" s="283"/>
      <c r="P336" s="284"/>
    </row>
    <row r="337" spans="1:16" ht="13.5" customHeight="1">
      <c r="A337" s="570">
        <f t="shared" si="16"/>
        <v>844</v>
      </c>
      <c r="B337" s="291"/>
      <c r="C337" s="291"/>
      <c r="D337" s="291"/>
      <c r="E337" s="291"/>
      <c r="F337" s="283"/>
      <c r="G337" s="283"/>
      <c r="H337" s="283"/>
      <c r="I337" s="283"/>
      <c r="J337" s="283"/>
      <c r="K337" s="283"/>
      <c r="L337" s="283"/>
      <c r="M337" s="283"/>
      <c r="N337" s="283"/>
      <c r="O337" s="283"/>
      <c r="P337" s="284"/>
    </row>
    <row r="338" spans="1:16" ht="13.5" customHeight="1">
      <c r="A338" s="14" t="str">
        <f t="shared" si="16"/>
        <v>854G</v>
      </c>
      <c r="B338" s="291"/>
      <c r="C338" s="291"/>
      <c r="D338" s="291"/>
      <c r="E338" s="291"/>
      <c r="F338" s="283"/>
      <c r="G338" s="283"/>
      <c r="H338" s="283"/>
      <c r="I338" s="283"/>
      <c r="J338" s="283"/>
      <c r="K338" s="283"/>
      <c r="L338" s="283"/>
      <c r="M338" s="283"/>
      <c r="N338" s="283"/>
      <c r="O338" s="283"/>
      <c r="P338" s="284"/>
    </row>
    <row r="339" spans="1:16" ht="16.5" customHeight="1" thickBot="1">
      <c r="A339" s="68" t="str">
        <f t="shared" si="16"/>
        <v>Motor Graders</v>
      </c>
      <c r="B339" s="208"/>
      <c r="C339" s="208"/>
      <c r="D339" s="208"/>
      <c r="E339" s="208"/>
      <c r="F339" s="208"/>
      <c r="G339" s="208"/>
      <c r="H339" s="208"/>
      <c r="I339" s="208"/>
      <c r="J339" s="208"/>
      <c r="K339" s="208"/>
      <c r="L339" s="208"/>
      <c r="M339" s="208"/>
      <c r="N339" s="208"/>
      <c r="O339" s="208"/>
      <c r="P339" s="209"/>
    </row>
    <row r="340" spans="1:16" ht="13.5" customHeight="1">
      <c r="A340" s="72" t="str">
        <f t="shared" si="16"/>
        <v>120H</v>
      </c>
      <c r="B340" s="291">
        <v>2850</v>
      </c>
      <c r="C340" s="291">
        <v>2850</v>
      </c>
      <c r="D340" s="291"/>
      <c r="E340" s="291"/>
      <c r="F340" s="283"/>
      <c r="G340" s="283"/>
      <c r="H340" s="283"/>
      <c r="I340" s="283"/>
      <c r="J340" s="283"/>
      <c r="K340" s="283"/>
      <c r="L340" s="283"/>
      <c r="M340" s="283"/>
      <c r="N340" s="283"/>
      <c r="O340" s="283"/>
      <c r="P340" s="284"/>
    </row>
    <row r="341" spans="1:16" ht="13.5" customHeight="1">
      <c r="A341" s="72" t="str">
        <f t="shared" si="16"/>
        <v>14G/H</v>
      </c>
      <c r="B341" s="291">
        <v>3141</v>
      </c>
      <c r="C341" s="291">
        <v>3141</v>
      </c>
      <c r="D341" s="291"/>
      <c r="E341" s="291"/>
      <c r="F341" s="283"/>
      <c r="G341" s="283"/>
      <c r="H341" s="283"/>
      <c r="I341" s="283"/>
      <c r="J341" s="283"/>
      <c r="K341" s="283"/>
      <c r="L341" s="283"/>
      <c r="M341" s="283"/>
      <c r="N341" s="283"/>
      <c r="O341" s="283"/>
      <c r="P341" s="284"/>
    </row>
    <row r="342" spans="1:16" ht="13.5" customHeight="1">
      <c r="A342" s="72" t="str">
        <f t="shared" si="16"/>
        <v>16G/H</v>
      </c>
      <c r="B342" s="295">
        <v>4133</v>
      </c>
      <c r="C342" s="295">
        <v>4133</v>
      </c>
      <c r="D342" s="295"/>
      <c r="E342" s="295"/>
      <c r="F342" s="293"/>
      <c r="G342" s="293"/>
      <c r="H342" s="293"/>
      <c r="I342" s="293"/>
      <c r="J342" s="293"/>
      <c r="K342" s="293"/>
      <c r="L342" s="293"/>
      <c r="M342" s="293"/>
      <c r="N342" s="293"/>
      <c r="O342" s="293"/>
      <c r="P342" s="294"/>
    </row>
    <row r="343" spans="1:16" ht="13.5" customHeight="1" thickBot="1">
      <c r="A343" s="90" t="str">
        <f t="shared" si="16"/>
        <v>24M</v>
      </c>
      <c r="B343" s="292">
        <v>6234</v>
      </c>
      <c r="C343" s="292">
        <v>6234</v>
      </c>
      <c r="D343" s="292"/>
      <c r="E343" s="292"/>
      <c r="F343" s="285"/>
      <c r="G343" s="285"/>
      <c r="H343" s="285"/>
      <c r="I343" s="285"/>
      <c r="J343" s="285"/>
      <c r="K343" s="285"/>
      <c r="L343" s="285"/>
      <c r="M343" s="285"/>
      <c r="N343" s="285"/>
      <c r="O343" s="285"/>
      <c r="P343" s="286"/>
    </row>
    <row r="344" spans="1:16" ht="16.5" customHeight="1" thickBot="1">
      <c r="A344" s="17" t="str">
        <f t="shared" si="16"/>
        <v>Track Excavators</v>
      </c>
      <c r="B344" s="210"/>
      <c r="C344" s="210"/>
      <c r="D344" s="210"/>
      <c r="E344" s="210"/>
      <c r="F344" s="210"/>
      <c r="G344" s="210"/>
      <c r="H344" s="210"/>
      <c r="I344" s="210"/>
      <c r="J344" s="210"/>
      <c r="K344" s="210"/>
      <c r="L344" s="210"/>
      <c r="M344" s="210"/>
      <c r="N344" s="210"/>
      <c r="O344" s="210"/>
      <c r="P344" s="211"/>
    </row>
    <row r="345" spans="1:16" ht="13.5" customHeight="1">
      <c r="A345" s="72" t="str">
        <f t="shared" ref="A345:A351" si="17">A31</f>
        <v>312C</v>
      </c>
      <c r="B345" s="200" t="s">
        <v>189</v>
      </c>
      <c r="C345" s="200" t="s">
        <v>189</v>
      </c>
      <c r="D345" s="200" t="s">
        <v>189</v>
      </c>
      <c r="E345" s="200" t="s">
        <v>189</v>
      </c>
      <c r="F345" s="200" t="s">
        <v>189</v>
      </c>
      <c r="G345" s="200" t="s">
        <v>189</v>
      </c>
      <c r="H345" s="200" t="s">
        <v>189</v>
      </c>
      <c r="I345" s="200" t="s">
        <v>189</v>
      </c>
      <c r="J345" s="200" t="s">
        <v>189</v>
      </c>
      <c r="K345" s="200" t="s">
        <v>189</v>
      </c>
      <c r="L345" s="200" t="s">
        <v>189</v>
      </c>
      <c r="M345" s="200" t="s">
        <v>189</v>
      </c>
      <c r="N345" s="200" t="s">
        <v>189</v>
      </c>
      <c r="O345" s="200" t="s">
        <v>189</v>
      </c>
      <c r="P345" s="201" t="s">
        <v>189</v>
      </c>
    </row>
    <row r="346" spans="1:16" ht="13.5" customHeight="1">
      <c r="A346" s="72" t="str">
        <f t="shared" si="17"/>
        <v>320C</v>
      </c>
      <c r="B346" s="200" t="s">
        <v>189</v>
      </c>
      <c r="C346" s="200" t="s">
        <v>189</v>
      </c>
      <c r="D346" s="200" t="s">
        <v>189</v>
      </c>
      <c r="E346" s="200" t="s">
        <v>189</v>
      </c>
      <c r="F346" s="200" t="s">
        <v>189</v>
      </c>
      <c r="G346" s="200" t="s">
        <v>189</v>
      </c>
      <c r="H346" s="200" t="s">
        <v>189</v>
      </c>
      <c r="I346" s="200" t="s">
        <v>189</v>
      </c>
      <c r="J346" s="200" t="s">
        <v>189</v>
      </c>
      <c r="K346" s="200" t="s">
        <v>189</v>
      </c>
      <c r="L346" s="200" t="s">
        <v>189</v>
      </c>
      <c r="M346" s="200" t="s">
        <v>189</v>
      </c>
      <c r="N346" s="200" t="s">
        <v>189</v>
      </c>
      <c r="O346" s="200" t="s">
        <v>189</v>
      </c>
      <c r="P346" s="201" t="s">
        <v>189</v>
      </c>
    </row>
    <row r="347" spans="1:16" ht="13.5" customHeight="1">
      <c r="A347" s="72" t="str">
        <f t="shared" si="17"/>
        <v>325C</v>
      </c>
      <c r="B347" s="200" t="s">
        <v>189</v>
      </c>
      <c r="C347" s="200" t="s">
        <v>189</v>
      </c>
      <c r="D347" s="200" t="s">
        <v>189</v>
      </c>
      <c r="E347" s="200" t="s">
        <v>189</v>
      </c>
      <c r="F347" s="200" t="s">
        <v>189</v>
      </c>
      <c r="G347" s="200" t="s">
        <v>189</v>
      </c>
      <c r="H347" s="200" t="s">
        <v>189</v>
      </c>
      <c r="I347" s="200" t="s">
        <v>189</v>
      </c>
      <c r="J347" s="200" t="s">
        <v>189</v>
      </c>
      <c r="K347" s="200" t="s">
        <v>189</v>
      </c>
      <c r="L347" s="200" t="s">
        <v>189</v>
      </c>
      <c r="M347" s="200" t="s">
        <v>189</v>
      </c>
      <c r="N347" s="200" t="s">
        <v>189</v>
      </c>
      <c r="O347" s="200" t="s">
        <v>189</v>
      </c>
      <c r="P347" s="201" t="s">
        <v>189</v>
      </c>
    </row>
    <row r="348" spans="1:16" ht="13.5" customHeight="1">
      <c r="A348" s="72" t="str">
        <f t="shared" si="17"/>
        <v>330C</v>
      </c>
      <c r="B348" s="200" t="s">
        <v>189</v>
      </c>
      <c r="C348" s="200" t="s">
        <v>189</v>
      </c>
      <c r="D348" s="200" t="s">
        <v>189</v>
      </c>
      <c r="E348" s="200" t="s">
        <v>189</v>
      </c>
      <c r="F348" s="200" t="s">
        <v>189</v>
      </c>
      <c r="G348" s="200" t="s">
        <v>189</v>
      </c>
      <c r="H348" s="200" t="s">
        <v>189</v>
      </c>
      <c r="I348" s="200" t="s">
        <v>189</v>
      </c>
      <c r="J348" s="200" t="s">
        <v>189</v>
      </c>
      <c r="K348" s="200" t="s">
        <v>189</v>
      </c>
      <c r="L348" s="200" t="s">
        <v>189</v>
      </c>
      <c r="M348" s="200" t="s">
        <v>189</v>
      </c>
      <c r="N348" s="200" t="s">
        <v>189</v>
      </c>
      <c r="O348" s="200" t="s">
        <v>189</v>
      </c>
      <c r="P348" s="201" t="s">
        <v>189</v>
      </c>
    </row>
    <row r="349" spans="1:16" ht="13.5" customHeight="1">
      <c r="A349" s="72" t="str">
        <f t="shared" si="17"/>
        <v>345B</v>
      </c>
      <c r="B349" s="200" t="s">
        <v>189</v>
      </c>
      <c r="C349" s="200" t="s">
        <v>189</v>
      </c>
      <c r="D349" s="200" t="s">
        <v>189</v>
      </c>
      <c r="E349" s="200" t="s">
        <v>189</v>
      </c>
      <c r="F349" s="200" t="s">
        <v>189</v>
      </c>
      <c r="G349" s="200" t="s">
        <v>189</v>
      </c>
      <c r="H349" s="200" t="s">
        <v>189</v>
      </c>
      <c r="I349" s="200" t="s">
        <v>189</v>
      </c>
      <c r="J349" s="200" t="s">
        <v>189</v>
      </c>
      <c r="K349" s="200" t="s">
        <v>189</v>
      </c>
      <c r="L349" s="200" t="s">
        <v>189</v>
      </c>
      <c r="M349" s="200" t="s">
        <v>189</v>
      </c>
      <c r="N349" s="200" t="s">
        <v>189</v>
      </c>
      <c r="O349" s="200" t="s">
        <v>189</v>
      </c>
      <c r="P349" s="201" t="s">
        <v>189</v>
      </c>
    </row>
    <row r="350" spans="1:16" ht="13.5" customHeight="1">
      <c r="A350" s="72" t="str">
        <f t="shared" si="17"/>
        <v>365BL</v>
      </c>
      <c r="B350" s="554" t="s">
        <v>189</v>
      </c>
      <c r="C350" s="200" t="s">
        <v>189</v>
      </c>
      <c r="D350" s="554" t="s">
        <v>189</v>
      </c>
      <c r="E350" s="554" t="s">
        <v>189</v>
      </c>
      <c r="F350" s="554" t="s">
        <v>189</v>
      </c>
      <c r="G350" s="554" t="s">
        <v>189</v>
      </c>
      <c r="H350" s="554" t="s">
        <v>189</v>
      </c>
      <c r="I350" s="554" t="s">
        <v>189</v>
      </c>
      <c r="J350" s="554" t="s">
        <v>189</v>
      </c>
      <c r="K350" s="554" t="s">
        <v>189</v>
      </c>
      <c r="L350" s="554" t="s">
        <v>189</v>
      </c>
      <c r="M350" s="554" t="s">
        <v>189</v>
      </c>
      <c r="N350" s="554" t="s">
        <v>189</v>
      </c>
      <c r="O350" s="554" t="s">
        <v>189</v>
      </c>
      <c r="P350" s="555" t="s">
        <v>189</v>
      </c>
    </row>
    <row r="351" spans="1:16" ht="13.5" customHeight="1" thickBot="1">
      <c r="A351" s="15" t="str">
        <f t="shared" si="17"/>
        <v>385BL</v>
      </c>
      <c r="B351" s="202" t="s">
        <v>189</v>
      </c>
      <c r="C351" s="202" t="s">
        <v>189</v>
      </c>
      <c r="D351" s="202" t="s">
        <v>189</v>
      </c>
      <c r="E351" s="202" t="s">
        <v>189</v>
      </c>
      <c r="F351" s="202" t="s">
        <v>189</v>
      </c>
      <c r="G351" s="202" t="s">
        <v>189</v>
      </c>
      <c r="H351" s="202" t="s">
        <v>189</v>
      </c>
      <c r="I351" s="202" t="s">
        <v>189</v>
      </c>
      <c r="J351" s="202" t="s">
        <v>189</v>
      </c>
      <c r="K351" s="202" t="s">
        <v>189</v>
      </c>
      <c r="L351" s="202" t="s">
        <v>189</v>
      </c>
      <c r="M351" s="202" t="s">
        <v>189</v>
      </c>
      <c r="N351" s="202" t="s">
        <v>189</v>
      </c>
      <c r="O351" s="202" t="s">
        <v>189</v>
      </c>
      <c r="P351" s="203" t="s">
        <v>189</v>
      </c>
    </row>
    <row r="352" spans="1:16" ht="16.5" customHeight="1" thickBot="1">
      <c r="A352" s="17" t="str">
        <f t="shared" ref="A352:A372" si="18">A38</f>
        <v>Scrapers</v>
      </c>
      <c r="B352" s="210"/>
      <c r="C352" s="210"/>
      <c r="D352" s="210"/>
      <c r="E352" s="210"/>
      <c r="F352" s="210"/>
      <c r="G352" s="210"/>
      <c r="H352" s="210"/>
      <c r="I352" s="210"/>
      <c r="J352" s="210"/>
      <c r="K352" s="210"/>
      <c r="L352" s="210"/>
      <c r="M352" s="210"/>
      <c r="N352" s="210"/>
      <c r="O352" s="210"/>
      <c r="P352" s="211"/>
    </row>
    <row r="353" spans="1:16" ht="13.5" customHeight="1">
      <c r="A353" s="72" t="str">
        <f t="shared" si="18"/>
        <v>631G</v>
      </c>
      <c r="B353" s="291">
        <v>10863</v>
      </c>
      <c r="C353" s="291">
        <v>10863</v>
      </c>
      <c r="D353" s="291"/>
      <c r="E353" s="291"/>
      <c r="F353" s="283"/>
      <c r="G353" s="283"/>
      <c r="H353" s="283"/>
      <c r="I353" s="283"/>
      <c r="J353" s="283"/>
      <c r="K353" s="283"/>
      <c r="L353" s="283"/>
      <c r="M353" s="283"/>
      <c r="N353" s="283"/>
      <c r="O353" s="283"/>
      <c r="P353" s="284"/>
    </row>
    <row r="354" spans="1:16" ht="13.5" customHeight="1" thickBot="1">
      <c r="A354" s="90" t="str">
        <f t="shared" si="18"/>
        <v>637G PP</v>
      </c>
      <c r="B354" s="291">
        <v>10863</v>
      </c>
      <c r="C354" s="291">
        <v>10863</v>
      </c>
      <c r="D354" s="291"/>
      <c r="E354" s="291"/>
      <c r="F354" s="293"/>
      <c r="G354" s="293"/>
      <c r="H354" s="293"/>
      <c r="I354" s="293"/>
      <c r="J354" s="293"/>
      <c r="K354" s="293"/>
      <c r="L354" s="293"/>
      <c r="M354" s="293"/>
      <c r="N354" s="293"/>
      <c r="O354" s="293"/>
      <c r="P354" s="294"/>
    </row>
    <row r="355" spans="1:16" ht="16.5" customHeight="1" thickBot="1">
      <c r="A355" s="17" t="str">
        <f t="shared" si="18"/>
        <v>Wheeled Loaders</v>
      </c>
      <c r="B355" s="210"/>
      <c r="C355" s="210"/>
      <c r="D355" s="210"/>
      <c r="E355" s="210"/>
      <c r="F355" s="210"/>
      <c r="G355" s="210"/>
      <c r="H355" s="210"/>
      <c r="I355" s="210"/>
      <c r="J355" s="210"/>
      <c r="K355" s="210"/>
      <c r="L355" s="210"/>
      <c r="M355" s="210"/>
      <c r="N355" s="210"/>
      <c r="O355" s="210"/>
      <c r="P355" s="211"/>
    </row>
    <row r="356" spans="1:16" ht="13.5" customHeight="1">
      <c r="A356" s="72" t="str">
        <f t="shared" si="18"/>
        <v>924G</v>
      </c>
      <c r="B356" s="291">
        <v>1260</v>
      </c>
      <c r="C356" s="291">
        <v>1260</v>
      </c>
      <c r="D356" s="291"/>
      <c r="E356" s="291"/>
      <c r="F356" s="283"/>
      <c r="G356" s="283"/>
      <c r="H356" s="283"/>
      <c r="I356" s="283"/>
      <c r="J356" s="283"/>
      <c r="K356" s="283"/>
      <c r="L356" s="283"/>
      <c r="M356" s="283"/>
      <c r="N356" s="283"/>
      <c r="O356" s="283"/>
      <c r="P356" s="284"/>
    </row>
    <row r="357" spans="1:16" ht="13.5" customHeight="1">
      <c r="A357" s="72" t="str">
        <f t="shared" si="18"/>
        <v>928G</v>
      </c>
      <c r="B357" s="291">
        <v>1361</v>
      </c>
      <c r="C357" s="291">
        <v>1361</v>
      </c>
      <c r="D357" s="291"/>
      <c r="E357" s="291"/>
      <c r="F357" s="283"/>
      <c r="G357" s="283"/>
      <c r="H357" s="283"/>
      <c r="I357" s="283"/>
      <c r="J357" s="283"/>
      <c r="K357" s="283"/>
      <c r="L357" s="283"/>
      <c r="M357" s="283"/>
      <c r="N357" s="283"/>
      <c r="O357" s="283"/>
      <c r="P357" s="284"/>
    </row>
    <row r="358" spans="1:16" ht="13.5" customHeight="1">
      <c r="A358" s="72" t="str">
        <f t="shared" si="18"/>
        <v>950G</v>
      </c>
      <c r="B358" s="291">
        <v>1512</v>
      </c>
      <c r="C358" s="291">
        <v>1512</v>
      </c>
      <c r="D358" s="291"/>
      <c r="E358" s="291"/>
      <c r="F358" s="283"/>
      <c r="G358" s="283"/>
      <c r="H358" s="283"/>
      <c r="I358" s="283"/>
      <c r="J358" s="283"/>
      <c r="K358" s="283"/>
      <c r="L358" s="283"/>
      <c r="M358" s="283"/>
      <c r="N358" s="283"/>
      <c r="O358" s="283"/>
      <c r="P358" s="284"/>
    </row>
    <row r="359" spans="1:16" ht="13.5" customHeight="1">
      <c r="A359" s="72" t="str">
        <f t="shared" si="18"/>
        <v>966G</v>
      </c>
      <c r="B359" s="291">
        <v>3125</v>
      </c>
      <c r="C359" s="291">
        <v>3125</v>
      </c>
      <c r="D359" s="291"/>
      <c r="E359" s="291"/>
      <c r="F359" s="283"/>
      <c r="G359" s="283"/>
      <c r="H359" s="283"/>
      <c r="I359" s="283"/>
      <c r="J359" s="283"/>
      <c r="K359" s="283"/>
      <c r="L359" s="283"/>
      <c r="M359" s="283"/>
      <c r="N359" s="283"/>
      <c r="O359" s="283"/>
      <c r="P359" s="284"/>
    </row>
    <row r="360" spans="1:16" ht="13.5" customHeight="1">
      <c r="A360" s="72" t="str">
        <f t="shared" si="18"/>
        <v>972G</v>
      </c>
      <c r="B360" s="291">
        <v>4234</v>
      </c>
      <c r="C360" s="291">
        <v>4234</v>
      </c>
      <c r="D360" s="291"/>
      <c r="E360" s="291"/>
      <c r="F360" s="283"/>
      <c r="G360" s="283"/>
      <c r="H360" s="283"/>
      <c r="I360" s="283"/>
      <c r="J360" s="283"/>
      <c r="K360" s="283"/>
      <c r="L360" s="283"/>
      <c r="M360" s="283"/>
      <c r="N360" s="283"/>
      <c r="O360" s="283"/>
      <c r="P360" s="284"/>
    </row>
    <row r="361" spans="1:16" ht="13.5" customHeight="1">
      <c r="A361" s="72" t="str">
        <f t="shared" si="18"/>
        <v>980G</v>
      </c>
      <c r="B361" s="291">
        <v>4234</v>
      </c>
      <c r="C361" s="291">
        <v>4234</v>
      </c>
      <c r="D361" s="291"/>
      <c r="E361" s="291"/>
      <c r="F361" s="283"/>
      <c r="G361" s="283"/>
      <c r="H361" s="283"/>
      <c r="I361" s="283"/>
      <c r="J361" s="283"/>
      <c r="K361" s="283"/>
      <c r="L361" s="283"/>
      <c r="M361" s="283"/>
      <c r="N361" s="283"/>
      <c r="O361" s="283"/>
      <c r="P361" s="284"/>
    </row>
    <row r="362" spans="1:16" ht="13.5" customHeight="1">
      <c r="A362" s="72" t="str">
        <f t="shared" si="18"/>
        <v>988G</v>
      </c>
      <c r="B362" s="291">
        <v>9173</v>
      </c>
      <c r="C362" s="291">
        <v>9173</v>
      </c>
      <c r="D362" s="291"/>
      <c r="E362" s="291"/>
      <c r="F362" s="283"/>
      <c r="G362" s="283"/>
      <c r="H362" s="283"/>
      <c r="I362" s="283"/>
      <c r="J362" s="283"/>
      <c r="K362" s="283"/>
      <c r="L362" s="283"/>
      <c r="M362" s="283"/>
      <c r="N362" s="283"/>
      <c r="O362" s="283"/>
      <c r="P362" s="284"/>
    </row>
    <row r="363" spans="1:16" ht="13.5" customHeight="1">
      <c r="A363" s="590">
        <f t="shared" si="18"/>
        <v>990</v>
      </c>
      <c r="B363" s="295">
        <v>12567</v>
      </c>
      <c r="C363" s="295">
        <v>12567</v>
      </c>
      <c r="D363" s="295"/>
      <c r="E363" s="295"/>
      <c r="F363" s="293"/>
      <c r="G363" s="293"/>
      <c r="H363" s="293"/>
      <c r="I363" s="293"/>
      <c r="J363" s="293"/>
      <c r="K363" s="293"/>
      <c r="L363" s="293"/>
      <c r="M363" s="293"/>
      <c r="N363" s="293"/>
      <c r="O363" s="293"/>
      <c r="P363" s="294"/>
    </row>
    <row r="364" spans="1:16" ht="13.5" customHeight="1">
      <c r="A364" s="90" t="str">
        <f t="shared" si="18"/>
        <v>992G</v>
      </c>
      <c r="B364" s="295">
        <v>15822</v>
      </c>
      <c r="C364" s="295">
        <v>15822</v>
      </c>
      <c r="D364" s="295"/>
      <c r="E364" s="295"/>
      <c r="F364" s="293"/>
      <c r="G364" s="293"/>
      <c r="H364" s="293"/>
      <c r="I364" s="293"/>
      <c r="J364" s="293"/>
      <c r="K364" s="293"/>
      <c r="L364" s="293"/>
      <c r="M364" s="293"/>
      <c r="N364" s="293"/>
      <c r="O364" s="293"/>
      <c r="P364" s="294"/>
    </row>
    <row r="365" spans="1:16" ht="13.5" customHeight="1">
      <c r="A365" s="90" t="str">
        <f t="shared" si="18"/>
        <v>994D</v>
      </c>
      <c r="B365" s="295">
        <v>54797</v>
      </c>
      <c r="C365" s="295">
        <v>54797</v>
      </c>
      <c r="D365" s="295"/>
      <c r="E365" s="295"/>
      <c r="F365" s="293"/>
      <c r="G365" s="293"/>
      <c r="H365" s="293"/>
      <c r="I365" s="293"/>
      <c r="J365" s="293"/>
      <c r="K365" s="293"/>
      <c r="L365" s="293"/>
      <c r="M365" s="293"/>
      <c r="N365" s="293"/>
      <c r="O365" s="293"/>
      <c r="P365" s="294"/>
    </row>
    <row r="366" spans="1:16" ht="13.5" customHeight="1" thickBot="1">
      <c r="A366" s="90" t="str">
        <f t="shared" si="18"/>
        <v>L-2350</v>
      </c>
      <c r="B366" s="295">
        <v>63456</v>
      </c>
      <c r="C366" s="295">
        <v>63456</v>
      </c>
      <c r="D366" s="295"/>
      <c r="E366" s="295"/>
      <c r="F366" s="293"/>
      <c r="G366" s="293"/>
      <c r="H366" s="293"/>
      <c r="I366" s="293"/>
      <c r="J366" s="293"/>
      <c r="K366" s="293"/>
      <c r="L366" s="293"/>
      <c r="M366" s="293"/>
      <c r="N366" s="293"/>
      <c r="O366" s="293"/>
      <c r="P366" s="294"/>
    </row>
    <row r="367" spans="1:16" ht="16.5" customHeight="1" thickBot="1">
      <c r="A367" s="17" t="s">
        <v>398</v>
      </c>
      <c r="B367" s="210"/>
      <c r="C367" s="210"/>
      <c r="D367" s="210"/>
      <c r="E367" s="210"/>
      <c r="F367" s="210"/>
      <c r="G367" s="210"/>
      <c r="H367" s="210"/>
      <c r="I367" s="210"/>
      <c r="J367" s="210"/>
      <c r="K367" s="210"/>
      <c r="L367" s="210"/>
      <c r="M367" s="210"/>
      <c r="N367" s="210"/>
      <c r="O367" s="210"/>
      <c r="P367" s="211"/>
    </row>
    <row r="368" spans="1:16" ht="13.5" customHeight="1">
      <c r="A368" s="72" t="str">
        <f t="shared" si="18"/>
        <v>KOM PC2000</v>
      </c>
      <c r="B368" s="200" t="s">
        <v>189</v>
      </c>
      <c r="C368" s="200" t="s">
        <v>189</v>
      </c>
      <c r="D368" s="200" t="s">
        <v>189</v>
      </c>
      <c r="E368" s="200" t="s">
        <v>189</v>
      </c>
      <c r="F368" s="200" t="s">
        <v>189</v>
      </c>
      <c r="G368" s="200" t="s">
        <v>189</v>
      </c>
      <c r="H368" s="200" t="s">
        <v>189</v>
      </c>
      <c r="I368" s="200" t="s">
        <v>189</v>
      </c>
      <c r="J368" s="200" t="s">
        <v>189</v>
      </c>
      <c r="K368" s="200" t="s">
        <v>189</v>
      </c>
      <c r="L368" s="200" t="s">
        <v>189</v>
      </c>
      <c r="M368" s="200" t="s">
        <v>189</v>
      </c>
      <c r="N368" s="200" t="s">
        <v>189</v>
      </c>
      <c r="O368" s="200" t="s">
        <v>189</v>
      </c>
      <c r="P368" s="201" t="s">
        <v>189</v>
      </c>
    </row>
    <row r="369" spans="1:16" ht="13.5" customHeight="1">
      <c r="A369" s="72" t="str">
        <f t="shared" si="18"/>
        <v>KOM PC3000</v>
      </c>
      <c r="B369" s="200" t="s">
        <v>189</v>
      </c>
      <c r="C369" s="200" t="s">
        <v>189</v>
      </c>
      <c r="D369" s="200" t="s">
        <v>189</v>
      </c>
      <c r="E369" s="200" t="s">
        <v>189</v>
      </c>
      <c r="F369" s="200" t="s">
        <v>189</v>
      </c>
      <c r="G369" s="200" t="s">
        <v>189</v>
      </c>
      <c r="H369" s="200" t="s">
        <v>189</v>
      </c>
      <c r="I369" s="200" t="s">
        <v>189</v>
      </c>
      <c r="J369" s="200" t="s">
        <v>189</v>
      </c>
      <c r="K369" s="200" t="s">
        <v>189</v>
      </c>
      <c r="L369" s="200" t="s">
        <v>189</v>
      </c>
      <c r="M369" s="200" t="s">
        <v>189</v>
      </c>
      <c r="N369" s="200" t="s">
        <v>189</v>
      </c>
      <c r="O369" s="200" t="s">
        <v>189</v>
      </c>
      <c r="P369" s="201" t="s">
        <v>189</v>
      </c>
    </row>
    <row r="370" spans="1:16" ht="13.5" customHeight="1">
      <c r="A370" s="72" t="str">
        <f t="shared" si="18"/>
        <v>KOM PC4000</v>
      </c>
      <c r="B370" s="200" t="s">
        <v>189</v>
      </c>
      <c r="C370" s="200" t="s">
        <v>189</v>
      </c>
      <c r="D370" s="200" t="s">
        <v>189</v>
      </c>
      <c r="E370" s="200" t="s">
        <v>189</v>
      </c>
      <c r="F370" s="200" t="s">
        <v>189</v>
      </c>
      <c r="G370" s="200" t="s">
        <v>189</v>
      </c>
      <c r="H370" s="200" t="s">
        <v>189</v>
      </c>
      <c r="I370" s="200" t="s">
        <v>189</v>
      </c>
      <c r="J370" s="200" t="s">
        <v>189</v>
      </c>
      <c r="K370" s="200" t="s">
        <v>189</v>
      </c>
      <c r="L370" s="200" t="s">
        <v>189</v>
      </c>
      <c r="M370" s="200" t="s">
        <v>189</v>
      </c>
      <c r="N370" s="200" t="s">
        <v>189</v>
      </c>
      <c r="O370" s="200" t="s">
        <v>189</v>
      </c>
      <c r="P370" s="201" t="s">
        <v>189</v>
      </c>
    </row>
    <row r="371" spans="1:16" ht="13.5" customHeight="1">
      <c r="A371" s="72" t="str">
        <f t="shared" si="18"/>
        <v>KOM PC5500</v>
      </c>
      <c r="B371" s="200" t="s">
        <v>189</v>
      </c>
      <c r="C371" s="200" t="s">
        <v>189</v>
      </c>
      <c r="D371" s="200" t="s">
        <v>189</v>
      </c>
      <c r="E371" s="200" t="s">
        <v>189</v>
      </c>
      <c r="F371" s="200" t="s">
        <v>189</v>
      </c>
      <c r="G371" s="200" t="s">
        <v>189</v>
      </c>
      <c r="H371" s="200" t="s">
        <v>189</v>
      </c>
      <c r="I371" s="200" t="s">
        <v>189</v>
      </c>
      <c r="J371" s="200" t="s">
        <v>189</v>
      </c>
      <c r="K371" s="200" t="s">
        <v>189</v>
      </c>
      <c r="L371" s="200" t="s">
        <v>189</v>
      </c>
      <c r="M371" s="200" t="s">
        <v>189</v>
      </c>
      <c r="N371" s="200" t="s">
        <v>189</v>
      </c>
      <c r="O371" s="200" t="s">
        <v>189</v>
      </c>
      <c r="P371" s="201" t="s">
        <v>189</v>
      </c>
    </row>
    <row r="372" spans="1:16" ht="13.5" customHeight="1" thickBot="1">
      <c r="A372" s="72" t="str">
        <f t="shared" si="18"/>
        <v>KOM PC8000</v>
      </c>
      <c r="B372" s="200" t="s">
        <v>189</v>
      </c>
      <c r="C372" s="200" t="s">
        <v>189</v>
      </c>
      <c r="D372" s="200" t="s">
        <v>189</v>
      </c>
      <c r="E372" s="200" t="s">
        <v>189</v>
      </c>
      <c r="F372" s="200" t="s">
        <v>189</v>
      </c>
      <c r="G372" s="200" t="s">
        <v>189</v>
      </c>
      <c r="H372" s="200" t="s">
        <v>189</v>
      </c>
      <c r="I372" s="200" t="s">
        <v>189</v>
      </c>
      <c r="J372" s="200" t="s">
        <v>189</v>
      </c>
      <c r="K372" s="200" t="s">
        <v>189</v>
      </c>
      <c r="L372" s="200" t="s">
        <v>189</v>
      </c>
      <c r="M372" s="200" t="s">
        <v>189</v>
      </c>
      <c r="N372" s="200" t="s">
        <v>189</v>
      </c>
      <c r="O372" s="200" t="s">
        <v>189</v>
      </c>
      <c r="P372" s="201" t="s">
        <v>189</v>
      </c>
    </row>
    <row r="373" spans="1:16" ht="16.5" customHeight="1" thickBot="1">
      <c r="A373" s="17" t="str">
        <f t="shared" ref="A373:A384" si="19">A59</f>
        <v>Hydraulic Hammers</v>
      </c>
      <c r="B373" s="210"/>
      <c r="C373" s="210"/>
      <c r="D373" s="210"/>
      <c r="E373" s="210"/>
      <c r="F373" s="210"/>
      <c r="G373" s="210"/>
      <c r="H373" s="210"/>
      <c r="I373" s="210"/>
      <c r="J373" s="210"/>
      <c r="K373" s="210"/>
      <c r="L373" s="210"/>
      <c r="M373" s="210"/>
      <c r="N373" s="210"/>
      <c r="O373" s="210"/>
      <c r="P373" s="211"/>
    </row>
    <row r="374" spans="1:16" ht="13.5" customHeight="1">
      <c r="A374" s="21" t="str">
        <f t="shared" si="19"/>
        <v>H-120 (fits 325)</v>
      </c>
      <c r="B374" s="200" t="s">
        <v>189</v>
      </c>
      <c r="C374" s="200" t="s">
        <v>189</v>
      </c>
      <c r="D374" s="200" t="s">
        <v>189</v>
      </c>
      <c r="E374" s="200" t="s">
        <v>189</v>
      </c>
      <c r="F374" s="200" t="s">
        <v>189</v>
      </c>
      <c r="G374" s="200" t="s">
        <v>189</v>
      </c>
      <c r="H374" s="200" t="s">
        <v>189</v>
      </c>
      <c r="I374" s="200" t="s">
        <v>189</v>
      </c>
      <c r="J374" s="200" t="s">
        <v>189</v>
      </c>
      <c r="K374" s="200" t="s">
        <v>189</v>
      </c>
      <c r="L374" s="200" t="s">
        <v>189</v>
      </c>
      <c r="M374" s="200" t="s">
        <v>189</v>
      </c>
      <c r="N374" s="200" t="s">
        <v>189</v>
      </c>
      <c r="O374" s="200" t="s">
        <v>189</v>
      </c>
      <c r="P374" s="201" t="s">
        <v>189</v>
      </c>
    </row>
    <row r="375" spans="1:16" ht="13.5" customHeight="1">
      <c r="A375" s="22" t="str">
        <f t="shared" si="19"/>
        <v>H-160 (fits 345)</v>
      </c>
      <c r="B375" s="200" t="s">
        <v>189</v>
      </c>
      <c r="C375" s="200" t="s">
        <v>189</v>
      </c>
      <c r="D375" s="200" t="s">
        <v>189</v>
      </c>
      <c r="E375" s="200" t="s">
        <v>189</v>
      </c>
      <c r="F375" s="200" t="s">
        <v>189</v>
      </c>
      <c r="G375" s="200" t="s">
        <v>189</v>
      </c>
      <c r="H375" s="200" t="s">
        <v>189</v>
      </c>
      <c r="I375" s="200" t="s">
        <v>189</v>
      </c>
      <c r="J375" s="200" t="s">
        <v>189</v>
      </c>
      <c r="K375" s="200" t="s">
        <v>189</v>
      </c>
      <c r="L375" s="200" t="s">
        <v>189</v>
      </c>
      <c r="M375" s="200" t="s">
        <v>189</v>
      </c>
      <c r="N375" s="200" t="s">
        <v>189</v>
      </c>
      <c r="O375" s="200" t="s">
        <v>189</v>
      </c>
      <c r="P375" s="201" t="s">
        <v>189</v>
      </c>
    </row>
    <row r="376" spans="1:16" ht="13.5" customHeight="1" thickBot="1">
      <c r="A376" s="22" t="str">
        <f t="shared" si="19"/>
        <v>H-180 (fits 365/385)</v>
      </c>
      <c r="B376" s="202" t="s">
        <v>189</v>
      </c>
      <c r="C376" s="202" t="s">
        <v>189</v>
      </c>
      <c r="D376" s="202" t="s">
        <v>189</v>
      </c>
      <c r="E376" s="202" t="s">
        <v>189</v>
      </c>
      <c r="F376" s="202" t="s">
        <v>189</v>
      </c>
      <c r="G376" s="202" t="s">
        <v>189</v>
      </c>
      <c r="H376" s="202" t="s">
        <v>189</v>
      </c>
      <c r="I376" s="202" t="s">
        <v>189</v>
      </c>
      <c r="J376" s="202" t="s">
        <v>189</v>
      </c>
      <c r="K376" s="202" t="s">
        <v>189</v>
      </c>
      <c r="L376" s="202" t="s">
        <v>189</v>
      </c>
      <c r="M376" s="202" t="s">
        <v>189</v>
      </c>
      <c r="N376" s="202" t="s">
        <v>189</v>
      </c>
      <c r="O376" s="202" t="s">
        <v>189</v>
      </c>
      <c r="P376" s="203" t="s">
        <v>189</v>
      </c>
    </row>
    <row r="377" spans="1:16" ht="16.5" customHeight="1" thickBot="1">
      <c r="A377" s="17" t="str">
        <f t="shared" si="19"/>
        <v>Demolition Shears</v>
      </c>
      <c r="B377" s="210"/>
      <c r="C377" s="210"/>
      <c r="D377" s="210"/>
      <c r="E377" s="210"/>
      <c r="F377" s="210"/>
      <c r="G377" s="210"/>
      <c r="H377" s="210"/>
      <c r="I377" s="210"/>
      <c r="J377" s="210"/>
      <c r="K377" s="210"/>
      <c r="L377" s="210"/>
      <c r="M377" s="210"/>
      <c r="N377" s="210"/>
      <c r="O377" s="210"/>
      <c r="P377" s="211"/>
    </row>
    <row r="378" spans="1:16" ht="13.5" customHeight="1">
      <c r="A378" s="21" t="str">
        <f t="shared" si="19"/>
        <v>S340 (fits 322/325/330)</v>
      </c>
      <c r="B378" s="200" t="s">
        <v>189</v>
      </c>
      <c r="C378" s="200" t="s">
        <v>189</v>
      </c>
      <c r="D378" s="200" t="s">
        <v>189</v>
      </c>
      <c r="E378" s="200" t="s">
        <v>189</v>
      </c>
      <c r="F378" s="200" t="s">
        <v>189</v>
      </c>
      <c r="G378" s="200" t="s">
        <v>189</v>
      </c>
      <c r="H378" s="200" t="s">
        <v>189</v>
      </c>
      <c r="I378" s="200" t="s">
        <v>189</v>
      </c>
      <c r="J378" s="200" t="s">
        <v>189</v>
      </c>
      <c r="K378" s="200" t="s">
        <v>189</v>
      </c>
      <c r="L378" s="200" t="s">
        <v>189</v>
      </c>
      <c r="M378" s="200" t="s">
        <v>189</v>
      </c>
      <c r="N378" s="200" t="s">
        <v>189</v>
      </c>
      <c r="O378" s="200" t="s">
        <v>189</v>
      </c>
      <c r="P378" s="201" t="s">
        <v>189</v>
      </c>
    </row>
    <row r="379" spans="1:16" ht="13.5" customHeight="1">
      <c r="A379" s="22" t="str">
        <f t="shared" si="19"/>
        <v>S365 (fits 330/345)</v>
      </c>
      <c r="B379" s="200" t="s">
        <v>189</v>
      </c>
      <c r="C379" s="200" t="s">
        <v>189</v>
      </c>
      <c r="D379" s="200" t="s">
        <v>189</v>
      </c>
      <c r="E379" s="200" t="s">
        <v>189</v>
      </c>
      <c r="F379" s="200" t="s">
        <v>189</v>
      </c>
      <c r="G379" s="200" t="s">
        <v>189</v>
      </c>
      <c r="H379" s="200" t="s">
        <v>189</v>
      </c>
      <c r="I379" s="200" t="s">
        <v>189</v>
      </c>
      <c r="J379" s="200" t="s">
        <v>189</v>
      </c>
      <c r="K379" s="200" t="s">
        <v>189</v>
      </c>
      <c r="L379" s="200" t="s">
        <v>189</v>
      </c>
      <c r="M379" s="200" t="s">
        <v>189</v>
      </c>
      <c r="N379" s="200" t="s">
        <v>189</v>
      </c>
      <c r="O379" s="200" t="s">
        <v>189</v>
      </c>
      <c r="P379" s="201" t="s">
        <v>189</v>
      </c>
    </row>
    <row r="380" spans="1:16" ht="13.5" customHeight="1" thickBot="1">
      <c r="A380" s="22" t="str">
        <f t="shared" si="19"/>
        <v>S390 (fits 365/385)</v>
      </c>
      <c r="B380" s="202" t="s">
        <v>189</v>
      </c>
      <c r="C380" s="202" t="s">
        <v>189</v>
      </c>
      <c r="D380" s="202" t="s">
        <v>189</v>
      </c>
      <c r="E380" s="202" t="s">
        <v>189</v>
      </c>
      <c r="F380" s="202" t="s">
        <v>189</v>
      </c>
      <c r="G380" s="202" t="s">
        <v>189</v>
      </c>
      <c r="H380" s="202" t="s">
        <v>189</v>
      </c>
      <c r="I380" s="202" t="s">
        <v>189</v>
      </c>
      <c r="J380" s="202" t="s">
        <v>189</v>
      </c>
      <c r="K380" s="202" t="s">
        <v>189</v>
      </c>
      <c r="L380" s="202" t="s">
        <v>189</v>
      </c>
      <c r="M380" s="202" t="s">
        <v>189</v>
      </c>
      <c r="N380" s="202" t="s">
        <v>189</v>
      </c>
      <c r="O380" s="202" t="s">
        <v>189</v>
      </c>
      <c r="P380" s="203" t="s">
        <v>189</v>
      </c>
    </row>
    <row r="381" spans="1:16" ht="16.5" customHeight="1" thickBot="1">
      <c r="A381" s="17" t="str">
        <f t="shared" si="19"/>
        <v>Demolition Grapples</v>
      </c>
      <c r="B381" s="210"/>
      <c r="C381" s="210"/>
      <c r="D381" s="210"/>
      <c r="E381" s="210"/>
      <c r="F381" s="210"/>
      <c r="G381" s="210"/>
      <c r="H381" s="210"/>
      <c r="I381" s="210"/>
      <c r="J381" s="210"/>
      <c r="K381" s="210"/>
      <c r="L381" s="210"/>
      <c r="M381" s="210"/>
      <c r="N381" s="210"/>
      <c r="O381" s="210"/>
      <c r="P381" s="211"/>
    </row>
    <row r="382" spans="1:16" ht="13.5" customHeight="1">
      <c r="A382" s="21" t="str">
        <f t="shared" si="19"/>
        <v>G315 (fits 322/325)</v>
      </c>
      <c r="B382" s="200" t="s">
        <v>189</v>
      </c>
      <c r="C382" s="200" t="s">
        <v>189</v>
      </c>
      <c r="D382" s="200" t="s">
        <v>189</v>
      </c>
      <c r="E382" s="200" t="s">
        <v>189</v>
      </c>
      <c r="F382" s="200" t="s">
        <v>189</v>
      </c>
      <c r="G382" s="200" t="s">
        <v>189</v>
      </c>
      <c r="H382" s="200" t="s">
        <v>189</v>
      </c>
      <c r="I382" s="200" t="s">
        <v>189</v>
      </c>
      <c r="J382" s="200" t="s">
        <v>189</v>
      </c>
      <c r="K382" s="200" t="s">
        <v>189</v>
      </c>
      <c r="L382" s="200" t="s">
        <v>189</v>
      </c>
      <c r="M382" s="200" t="s">
        <v>189</v>
      </c>
      <c r="N382" s="200" t="s">
        <v>189</v>
      </c>
      <c r="O382" s="200" t="s">
        <v>189</v>
      </c>
      <c r="P382" s="201" t="s">
        <v>189</v>
      </c>
    </row>
    <row r="383" spans="1:16" ht="13.5" customHeight="1">
      <c r="A383" s="22" t="str">
        <f t="shared" si="19"/>
        <v>G320 (fits 325/330)</v>
      </c>
      <c r="B383" s="200" t="s">
        <v>189</v>
      </c>
      <c r="C383" s="200" t="s">
        <v>189</v>
      </c>
      <c r="D383" s="200" t="s">
        <v>189</v>
      </c>
      <c r="E383" s="200" t="s">
        <v>189</v>
      </c>
      <c r="F383" s="200" t="s">
        <v>189</v>
      </c>
      <c r="G383" s="200" t="s">
        <v>189</v>
      </c>
      <c r="H383" s="200" t="s">
        <v>189</v>
      </c>
      <c r="I383" s="200" t="s">
        <v>189</v>
      </c>
      <c r="J383" s="200" t="s">
        <v>189</v>
      </c>
      <c r="K383" s="200" t="s">
        <v>189</v>
      </c>
      <c r="L383" s="200" t="s">
        <v>189</v>
      </c>
      <c r="M383" s="200" t="s">
        <v>189</v>
      </c>
      <c r="N383" s="200" t="s">
        <v>189</v>
      </c>
      <c r="O383" s="200" t="s">
        <v>189</v>
      </c>
      <c r="P383" s="201" t="s">
        <v>189</v>
      </c>
    </row>
    <row r="384" spans="1:16" ht="13.5" customHeight="1" thickBot="1">
      <c r="A384" s="22" t="str">
        <f t="shared" si="19"/>
        <v>G330 (fits 345/365)</v>
      </c>
      <c r="B384" s="202" t="s">
        <v>189</v>
      </c>
      <c r="C384" s="202" t="s">
        <v>189</v>
      </c>
      <c r="D384" s="202" t="s">
        <v>189</v>
      </c>
      <c r="E384" s="202" t="s">
        <v>189</v>
      </c>
      <c r="F384" s="202" t="s">
        <v>189</v>
      </c>
      <c r="G384" s="202" t="s">
        <v>189</v>
      </c>
      <c r="H384" s="202" t="s">
        <v>189</v>
      </c>
      <c r="I384" s="202" t="s">
        <v>189</v>
      </c>
      <c r="J384" s="202" t="s">
        <v>189</v>
      </c>
      <c r="K384" s="202" t="s">
        <v>189</v>
      </c>
      <c r="L384" s="202" t="s">
        <v>189</v>
      </c>
      <c r="M384" s="202" t="s">
        <v>189</v>
      </c>
      <c r="N384" s="202" t="s">
        <v>189</v>
      </c>
      <c r="O384" s="202" t="s">
        <v>189</v>
      </c>
      <c r="P384" s="203" t="s">
        <v>189</v>
      </c>
    </row>
    <row r="385" spans="1:16" ht="16.5" customHeight="1" thickBot="1">
      <c r="A385" s="17" t="str">
        <f>A71</f>
        <v>Other Equipment</v>
      </c>
      <c r="B385" s="210"/>
      <c r="C385" s="210"/>
      <c r="D385" s="210"/>
      <c r="E385" s="210"/>
      <c r="F385" s="210"/>
      <c r="G385" s="210"/>
      <c r="H385" s="210"/>
      <c r="I385" s="210"/>
      <c r="J385" s="210"/>
      <c r="K385" s="210"/>
      <c r="L385" s="210"/>
      <c r="M385" s="210"/>
      <c r="N385" s="210"/>
      <c r="O385" s="210"/>
      <c r="P385" s="211"/>
    </row>
    <row r="386" spans="1:16" ht="13.5" customHeight="1">
      <c r="A386" s="72" t="str">
        <f t="shared" ref="A386:A406" si="20">A72</f>
        <v>420D 4WD Backhoe</v>
      </c>
      <c r="B386" s="291">
        <v>3024</v>
      </c>
      <c r="C386" s="291">
        <v>3024</v>
      </c>
      <c r="D386" s="291"/>
      <c r="E386" s="291"/>
      <c r="F386" s="283"/>
      <c r="G386" s="283"/>
      <c r="H386" s="283"/>
      <c r="I386" s="283"/>
      <c r="J386" s="283"/>
      <c r="K386" s="283"/>
      <c r="L386" s="283"/>
      <c r="M386" s="283"/>
      <c r="N386" s="283"/>
      <c r="O386" s="283"/>
      <c r="P386" s="284"/>
    </row>
    <row r="387" spans="1:16" ht="13.5" customHeight="1">
      <c r="A387" s="556" t="str">
        <f t="shared" si="20"/>
        <v>428D 4WD Backhoe</v>
      </c>
      <c r="B387" s="291">
        <v>3226</v>
      </c>
      <c r="C387" s="291">
        <v>3226</v>
      </c>
      <c r="D387" s="291"/>
      <c r="E387" s="291"/>
      <c r="F387" s="283"/>
      <c r="G387" s="283"/>
      <c r="H387" s="283"/>
      <c r="I387" s="283"/>
      <c r="J387" s="283"/>
      <c r="K387" s="283"/>
      <c r="L387" s="283"/>
      <c r="M387" s="283"/>
      <c r="N387" s="283"/>
      <c r="O387" s="283"/>
      <c r="P387" s="284"/>
    </row>
    <row r="388" spans="1:16" ht="13.5" customHeight="1">
      <c r="A388" s="143" t="str">
        <f t="shared" si="20"/>
        <v>CS533E Vibratory Roller</v>
      </c>
      <c r="B388" s="200" t="s">
        <v>189</v>
      </c>
      <c r="C388" s="200" t="s">
        <v>189</v>
      </c>
      <c r="D388" s="200" t="s">
        <v>189</v>
      </c>
      <c r="E388" s="200" t="s">
        <v>189</v>
      </c>
      <c r="F388" s="200" t="s">
        <v>189</v>
      </c>
      <c r="G388" s="200" t="s">
        <v>189</v>
      </c>
      <c r="H388" s="200" t="s">
        <v>189</v>
      </c>
      <c r="I388" s="200" t="s">
        <v>189</v>
      </c>
      <c r="J388" s="200" t="s">
        <v>189</v>
      </c>
      <c r="K388" s="200" t="s">
        <v>189</v>
      </c>
      <c r="L388" s="200" t="s">
        <v>189</v>
      </c>
      <c r="M388" s="200" t="s">
        <v>189</v>
      </c>
      <c r="N388" s="200" t="s">
        <v>189</v>
      </c>
      <c r="O388" s="200" t="s">
        <v>189</v>
      </c>
      <c r="P388" s="201" t="s">
        <v>189</v>
      </c>
    </row>
    <row r="389" spans="1:16" ht="13.5" customHeight="1">
      <c r="A389" s="143" t="str">
        <f t="shared" si="20"/>
        <v>CS663E Vibratory Roller</v>
      </c>
      <c r="B389" s="200" t="s">
        <v>189</v>
      </c>
      <c r="C389" s="200" t="s">
        <v>189</v>
      </c>
      <c r="D389" s="200" t="s">
        <v>189</v>
      </c>
      <c r="E389" s="200" t="s">
        <v>189</v>
      </c>
      <c r="F389" s="200" t="s">
        <v>189</v>
      </c>
      <c r="G389" s="200" t="s">
        <v>189</v>
      </c>
      <c r="H389" s="200" t="s">
        <v>189</v>
      </c>
      <c r="I389" s="200" t="s">
        <v>189</v>
      </c>
      <c r="J389" s="200" t="s">
        <v>189</v>
      </c>
      <c r="K389" s="200" t="s">
        <v>189</v>
      </c>
      <c r="L389" s="200" t="s">
        <v>189</v>
      </c>
      <c r="M389" s="200" t="s">
        <v>189</v>
      </c>
      <c r="N389" s="200" t="s">
        <v>189</v>
      </c>
      <c r="O389" s="200" t="s">
        <v>189</v>
      </c>
      <c r="P389" s="201" t="s">
        <v>189</v>
      </c>
    </row>
    <row r="390" spans="1:16" ht="13.5" customHeight="1">
      <c r="A390" s="143" t="str">
        <f t="shared" si="20"/>
        <v>CP533E Sheepsfoot Compactor</v>
      </c>
      <c r="B390" s="200" t="s">
        <v>189</v>
      </c>
      <c r="C390" s="200" t="s">
        <v>189</v>
      </c>
      <c r="D390" s="200" t="s">
        <v>189</v>
      </c>
      <c r="E390" s="200" t="s">
        <v>189</v>
      </c>
      <c r="F390" s="200" t="s">
        <v>189</v>
      </c>
      <c r="G390" s="200" t="s">
        <v>189</v>
      </c>
      <c r="H390" s="200" t="s">
        <v>189</v>
      </c>
      <c r="I390" s="200" t="s">
        <v>189</v>
      </c>
      <c r="J390" s="200" t="s">
        <v>189</v>
      </c>
      <c r="K390" s="200" t="s">
        <v>189</v>
      </c>
      <c r="L390" s="200" t="s">
        <v>189</v>
      </c>
      <c r="M390" s="200" t="s">
        <v>189</v>
      </c>
      <c r="N390" s="200" t="s">
        <v>189</v>
      </c>
      <c r="O390" s="200" t="s">
        <v>189</v>
      </c>
      <c r="P390" s="201" t="s">
        <v>189</v>
      </c>
    </row>
    <row r="391" spans="1:16" ht="13.5" customHeight="1">
      <c r="A391" s="143" t="str">
        <f t="shared" si="20"/>
        <v>CP663E Sheepsfoot Compactor</v>
      </c>
      <c r="B391" s="200" t="s">
        <v>189</v>
      </c>
      <c r="C391" s="200" t="s">
        <v>189</v>
      </c>
      <c r="D391" s="200" t="s">
        <v>189</v>
      </c>
      <c r="E391" s="200" t="s">
        <v>189</v>
      </c>
      <c r="F391" s="200" t="s">
        <v>189</v>
      </c>
      <c r="G391" s="200" t="s">
        <v>189</v>
      </c>
      <c r="H391" s="200" t="s">
        <v>189</v>
      </c>
      <c r="I391" s="200" t="s">
        <v>189</v>
      </c>
      <c r="J391" s="200" t="s">
        <v>189</v>
      </c>
      <c r="K391" s="200" t="s">
        <v>189</v>
      </c>
      <c r="L391" s="200" t="s">
        <v>189</v>
      </c>
      <c r="M391" s="200" t="s">
        <v>189</v>
      </c>
      <c r="N391" s="200" t="s">
        <v>189</v>
      </c>
      <c r="O391" s="200" t="s">
        <v>189</v>
      </c>
      <c r="P391" s="201" t="s">
        <v>189</v>
      </c>
    </row>
    <row r="392" spans="1:16" ht="13.5" customHeight="1">
      <c r="A392" s="75" t="str">
        <f t="shared" si="20"/>
        <v>Light Truck - 1.5 Ton</v>
      </c>
      <c r="B392" s="287"/>
      <c r="C392" s="425"/>
      <c r="D392" s="425"/>
      <c r="E392" s="425"/>
      <c r="F392" s="425"/>
      <c r="G392" s="272"/>
      <c r="H392" s="272"/>
      <c r="I392" s="272"/>
      <c r="J392" s="272"/>
      <c r="K392" s="272"/>
      <c r="L392" s="272"/>
      <c r="M392" s="272"/>
      <c r="N392" s="272"/>
      <c r="O392" s="272"/>
      <c r="P392" s="273"/>
    </row>
    <row r="393" spans="1:16" ht="13.5" customHeight="1">
      <c r="A393" s="76" t="str">
        <f t="shared" si="20"/>
        <v>Supervisor's Truck</v>
      </c>
      <c r="B393" s="287"/>
      <c r="C393" s="425"/>
      <c r="D393" s="425"/>
      <c r="E393" s="425"/>
      <c r="F393" s="425"/>
      <c r="G393" s="272"/>
      <c r="H393" s="272"/>
      <c r="I393" s="272"/>
      <c r="J393" s="272"/>
      <c r="K393" s="272"/>
      <c r="L393" s="272"/>
      <c r="M393" s="272"/>
      <c r="N393" s="272"/>
      <c r="O393" s="272"/>
      <c r="P393" s="273"/>
    </row>
    <row r="394" spans="1:16" ht="13.5" customHeight="1">
      <c r="A394" s="76" t="str">
        <f t="shared" si="20"/>
        <v>Flatbed Truck</v>
      </c>
      <c r="B394" s="287"/>
      <c r="C394" s="425"/>
      <c r="D394" s="425"/>
      <c r="E394" s="425"/>
      <c r="F394" s="425"/>
      <c r="G394" s="272"/>
      <c r="H394" s="272"/>
      <c r="I394" s="272"/>
      <c r="J394" s="272"/>
      <c r="K394" s="272"/>
      <c r="L394" s="272"/>
      <c r="M394" s="272"/>
      <c r="N394" s="272"/>
      <c r="O394" s="272"/>
      <c r="P394" s="273"/>
    </row>
    <row r="395" spans="1:16" ht="13.5" customHeight="1">
      <c r="A395" s="76" t="str">
        <f t="shared" si="20"/>
        <v>Air Compressor + tools</v>
      </c>
      <c r="B395" s="200" t="s">
        <v>189</v>
      </c>
      <c r="C395" s="200" t="s">
        <v>189</v>
      </c>
      <c r="D395" s="200" t="s">
        <v>189</v>
      </c>
      <c r="E395" s="200" t="s">
        <v>189</v>
      </c>
      <c r="F395" s="200" t="s">
        <v>189</v>
      </c>
      <c r="G395" s="200" t="s">
        <v>189</v>
      </c>
      <c r="H395" s="200" t="s">
        <v>189</v>
      </c>
      <c r="I395" s="200" t="s">
        <v>189</v>
      </c>
      <c r="J395" s="200" t="s">
        <v>189</v>
      </c>
      <c r="K395" s="200" t="s">
        <v>189</v>
      </c>
      <c r="L395" s="200" t="s">
        <v>189</v>
      </c>
      <c r="M395" s="200" t="s">
        <v>189</v>
      </c>
      <c r="N395" s="200" t="s">
        <v>189</v>
      </c>
      <c r="O395" s="200" t="s">
        <v>189</v>
      </c>
      <c r="P395" s="201" t="s">
        <v>189</v>
      </c>
    </row>
    <row r="396" spans="1:16" ht="13.5" customHeight="1">
      <c r="A396" s="76" t="str">
        <f t="shared" si="20"/>
        <v>Welding Equipment</v>
      </c>
      <c r="B396" s="200" t="s">
        <v>189</v>
      </c>
      <c r="C396" s="200" t="s">
        <v>189</v>
      </c>
      <c r="D396" s="200" t="s">
        <v>189</v>
      </c>
      <c r="E396" s="200" t="s">
        <v>189</v>
      </c>
      <c r="F396" s="200" t="s">
        <v>189</v>
      </c>
      <c r="G396" s="200" t="s">
        <v>189</v>
      </c>
      <c r="H396" s="200" t="s">
        <v>189</v>
      </c>
      <c r="I396" s="200" t="s">
        <v>189</v>
      </c>
      <c r="J396" s="200" t="s">
        <v>189</v>
      </c>
      <c r="K396" s="200" t="s">
        <v>189</v>
      </c>
      <c r="L396" s="200" t="s">
        <v>189</v>
      </c>
      <c r="M396" s="200" t="s">
        <v>189</v>
      </c>
      <c r="N396" s="200" t="s">
        <v>189</v>
      </c>
      <c r="O396" s="200" t="s">
        <v>189</v>
      </c>
      <c r="P396" s="201" t="s">
        <v>189</v>
      </c>
    </row>
    <row r="397" spans="1:16" ht="13.5" customHeight="1">
      <c r="A397" s="5" t="str">
        <f t="shared" si="20"/>
        <v>Heavy Duty Drill Rig</v>
      </c>
      <c r="B397" s="287"/>
      <c r="C397" s="425"/>
      <c r="D397" s="425"/>
      <c r="E397" s="425"/>
      <c r="F397" s="425"/>
      <c r="G397" s="272"/>
      <c r="H397" s="272"/>
      <c r="I397" s="272"/>
      <c r="J397" s="272"/>
      <c r="K397" s="272"/>
      <c r="L397" s="272"/>
      <c r="M397" s="272"/>
      <c r="N397" s="272"/>
      <c r="O397" s="272"/>
      <c r="P397" s="273"/>
    </row>
    <row r="398" spans="1:16" ht="13.5" customHeight="1">
      <c r="A398" s="66" t="str">
        <f t="shared" si="20"/>
        <v>Pump (plugging) Drill Rig</v>
      </c>
      <c r="B398" s="287"/>
      <c r="C398" s="425"/>
      <c r="D398" s="425"/>
      <c r="E398" s="425"/>
      <c r="F398" s="425"/>
      <c r="G398" s="272"/>
      <c r="H398" s="272"/>
      <c r="I398" s="272"/>
      <c r="J398" s="272"/>
      <c r="K398" s="272"/>
      <c r="L398" s="272"/>
      <c r="M398" s="272"/>
      <c r="N398" s="272"/>
      <c r="O398" s="272"/>
      <c r="P398" s="273"/>
    </row>
    <row r="399" spans="1:16" ht="13.5" customHeight="1">
      <c r="A399" s="66" t="str">
        <f t="shared" si="20"/>
        <v>Concrete Pump</v>
      </c>
      <c r="B399" s="200" t="s">
        <v>189</v>
      </c>
      <c r="C399" s="200" t="s">
        <v>189</v>
      </c>
      <c r="D399" s="200" t="s">
        <v>189</v>
      </c>
      <c r="E399" s="200" t="s">
        <v>189</v>
      </c>
      <c r="F399" s="200" t="s">
        <v>189</v>
      </c>
      <c r="G399" s="200" t="s">
        <v>189</v>
      </c>
      <c r="H399" s="200" t="s">
        <v>189</v>
      </c>
      <c r="I399" s="200" t="s">
        <v>189</v>
      </c>
      <c r="J399" s="200" t="s">
        <v>189</v>
      </c>
      <c r="K399" s="200" t="s">
        <v>189</v>
      </c>
      <c r="L399" s="200" t="s">
        <v>189</v>
      </c>
      <c r="M399" s="200" t="s">
        <v>189</v>
      </c>
      <c r="N399" s="200" t="s">
        <v>189</v>
      </c>
      <c r="O399" s="200" t="s">
        <v>189</v>
      </c>
      <c r="P399" s="201" t="s">
        <v>189</v>
      </c>
    </row>
    <row r="400" spans="1:16" ht="13.5" customHeight="1">
      <c r="A400" s="66" t="str">
        <f t="shared" si="20"/>
        <v>Gas Engine Vibrator</v>
      </c>
      <c r="B400" s="200" t="s">
        <v>189</v>
      </c>
      <c r="C400" s="200" t="s">
        <v>189</v>
      </c>
      <c r="D400" s="200" t="s">
        <v>189</v>
      </c>
      <c r="E400" s="200" t="s">
        <v>189</v>
      </c>
      <c r="F400" s="200" t="s">
        <v>189</v>
      </c>
      <c r="G400" s="200" t="s">
        <v>189</v>
      </c>
      <c r="H400" s="200" t="s">
        <v>189</v>
      </c>
      <c r="I400" s="200" t="s">
        <v>189</v>
      </c>
      <c r="J400" s="200" t="s">
        <v>189</v>
      </c>
      <c r="K400" s="200" t="s">
        <v>189</v>
      </c>
      <c r="L400" s="200" t="s">
        <v>189</v>
      </c>
      <c r="M400" s="200" t="s">
        <v>189</v>
      </c>
      <c r="N400" s="200" t="s">
        <v>189</v>
      </c>
      <c r="O400" s="200" t="s">
        <v>189</v>
      </c>
      <c r="P400" s="201" t="s">
        <v>189</v>
      </c>
    </row>
    <row r="401" spans="1:16" ht="13.5" customHeight="1">
      <c r="A401" s="66" t="str">
        <f t="shared" si="20"/>
        <v>Generator 5KW</v>
      </c>
      <c r="B401" s="235" t="s">
        <v>189</v>
      </c>
      <c r="C401" s="235" t="s">
        <v>189</v>
      </c>
      <c r="D401" s="235" t="s">
        <v>189</v>
      </c>
      <c r="E401" s="235" t="s">
        <v>189</v>
      </c>
      <c r="F401" s="235" t="s">
        <v>189</v>
      </c>
      <c r="G401" s="235" t="s">
        <v>189</v>
      </c>
      <c r="H401" s="235" t="s">
        <v>189</v>
      </c>
      <c r="I401" s="235" t="s">
        <v>189</v>
      </c>
      <c r="J401" s="235" t="s">
        <v>189</v>
      </c>
      <c r="K401" s="235" t="s">
        <v>189</v>
      </c>
      <c r="L401" s="235" t="s">
        <v>189</v>
      </c>
      <c r="M401" s="235" t="s">
        <v>189</v>
      </c>
      <c r="N401" s="235" t="s">
        <v>189</v>
      </c>
      <c r="O401" s="235" t="s">
        <v>189</v>
      </c>
      <c r="P401" s="236" t="s">
        <v>189</v>
      </c>
    </row>
    <row r="402" spans="1:16" ht="13.5" customHeight="1">
      <c r="A402" s="66" t="str">
        <f t="shared" si="20"/>
        <v>HDEP Welder (pipe or liner)</v>
      </c>
      <c r="B402" s="235" t="s">
        <v>189</v>
      </c>
      <c r="C402" s="235" t="s">
        <v>189</v>
      </c>
      <c r="D402" s="235" t="s">
        <v>189</v>
      </c>
      <c r="E402" s="235" t="s">
        <v>189</v>
      </c>
      <c r="F402" s="235" t="s">
        <v>189</v>
      </c>
      <c r="G402" s="235" t="s">
        <v>189</v>
      </c>
      <c r="H402" s="235" t="s">
        <v>189</v>
      </c>
      <c r="I402" s="235" t="s">
        <v>189</v>
      </c>
      <c r="J402" s="235" t="s">
        <v>189</v>
      </c>
      <c r="K402" s="235" t="s">
        <v>189</v>
      </c>
      <c r="L402" s="235" t="s">
        <v>189</v>
      </c>
      <c r="M402" s="235" t="s">
        <v>189</v>
      </c>
      <c r="N402" s="235" t="s">
        <v>189</v>
      </c>
      <c r="O402" s="235" t="s">
        <v>189</v>
      </c>
      <c r="P402" s="236" t="s">
        <v>189</v>
      </c>
    </row>
    <row r="403" spans="1:16" ht="13.5" customHeight="1">
      <c r="A403" s="66" t="str">
        <f t="shared" si="20"/>
        <v>5 Ton Crane</v>
      </c>
      <c r="B403" s="287"/>
      <c r="C403" s="425"/>
      <c r="D403" s="425"/>
      <c r="E403" s="425"/>
      <c r="F403" s="425"/>
      <c r="G403" s="272"/>
      <c r="H403" s="272"/>
      <c r="I403" s="272"/>
      <c r="J403" s="272"/>
      <c r="K403" s="272"/>
      <c r="L403" s="272"/>
      <c r="M403" s="272"/>
      <c r="N403" s="272"/>
      <c r="O403" s="272"/>
      <c r="P403" s="273"/>
    </row>
    <row r="404" spans="1:16" ht="13.5" customHeight="1">
      <c r="A404" s="66" t="str">
        <f t="shared" si="20"/>
        <v>20 Ton Crane</v>
      </c>
      <c r="B404" s="287"/>
      <c r="C404" s="425"/>
      <c r="D404" s="425"/>
      <c r="E404" s="425"/>
      <c r="F404" s="425"/>
      <c r="G404" s="272"/>
      <c r="H404" s="272"/>
      <c r="I404" s="272"/>
      <c r="J404" s="272"/>
      <c r="K404" s="272"/>
      <c r="L404" s="272"/>
      <c r="M404" s="272"/>
      <c r="N404" s="272"/>
      <c r="O404" s="272"/>
      <c r="P404" s="273"/>
    </row>
    <row r="405" spans="1:16" ht="13.5" customHeight="1">
      <c r="A405" s="66" t="str">
        <f t="shared" si="20"/>
        <v>50 Ton Crane</v>
      </c>
      <c r="B405" s="287"/>
      <c r="C405" s="425"/>
      <c r="D405" s="425"/>
      <c r="E405" s="425"/>
      <c r="F405" s="425"/>
      <c r="G405" s="272"/>
      <c r="H405" s="272"/>
      <c r="I405" s="272"/>
      <c r="J405" s="272"/>
      <c r="K405" s="272"/>
      <c r="L405" s="272"/>
      <c r="M405" s="272"/>
      <c r="N405" s="272"/>
      <c r="O405" s="272"/>
      <c r="P405" s="273"/>
    </row>
    <row r="406" spans="1:16" ht="13.5" customHeight="1" thickBot="1">
      <c r="A406" s="66" t="str">
        <f t="shared" si="20"/>
        <v>120 Ton Crane</v>
      </c>
      <c r="B406" s="287"/>
      <c r="C406" s="425"/>
      <c r="D406" s="425"/>
      <c r="E406" s="425"/>
      <c r="F406" s="425"/>
      <c r="G406" s="272"/>
      <c r="H406" s="272"/>
      <c r="I406" s="272"/>
      <c r="J406" s="272"/>
      <c r="K406" s="272"/>
      <c r="L406" s="272"/>
      <c r="M406" s="272"/>
      <c r="N406" s="272"/>
      <c r="O406" s="272"/>
      <c r="P406" s="273"/>
    </row>
    <row r="407" spans="1:16" ht="16.5" customHeight="1" thickBot="1">
      <c r="A407" s="17" t="str">
        <f t="shared" ref="A407:A422" si="21">A93</f>
        <v>Trucks</v>
      </c>
      <c r="B407" s="210"/>
      <c r="C407" s="210"/>
      <c r="D407" s="210"/>
      <c r="E407" s="210"/>
      <c r="F407" s="210"/>
      <c r="G407" s="210"/>
      <c r="H407" s="210"/>
      <c r="I407" s="210"/>
      <c r="J407" s="210"/>
      <c r="K407" s="210"/>
      <c r="L407" s="210"/>
      <c r="M407" s="210"/>
      <c r="N407" s="210"/>
      <c r="O407" s="210"/>
      <c r="P407" s="211"/>
    </row>
    <row r="408" spans="1:16" ht="13.5" customHeight="1">
      <c r="A408" s="90" t="str">
        <f t="shared" si="21"/>
        <v>725 (articulated)</v>
      </c>
      <c r="B408" s="295">
        <v>1971</v>
      </c>
      <c r="C408" s="419">
        <v>1971</v>
      </c>
      <c r="D408" s="419"/>
      <c r="E408" s="419"/>
      <c r="F408" s="419"/>
      <c r="G408" s="293"/>
      <c r="H408" s="293"/>
      <c r="I408" s="293"/>
      <c r="J408" s="293"/>
      <c r="K408" s="293"/>
      <c r="L408" s="293"/>
      <c r="M408" s="293"/>
      <c r="N408" s="293"/>
      <c r="O408" s="293"/>
      <c r="P408" s="294"/>
    </row>
    <row r="409" spans="1:16" ht="13.5" customHeight="1">
      <c r="A409" s="90" t="str">
        <f t="shared" si="21"/>
        <v>730  (articulated)</v>
      </c>
      <c r="B409" s="295">
        <v>2420</v>
      </c>
      <c r="C409" s="419">
        <v>2120</v>
      </c>
      <c r="D409" s="419"/>
      <c r="E409" s="419"/>
      <c r="F409" s="419"/>
      <c r="G409" s="293"/>
      <c r="H409" s="293"/>
      <c r="I409" s="293"/>
      <c r="J409" s="293"/>
      <c r="K409" s="293"/>
      <c r="L409" s="293"/>
      <c r="M409" s="293"/>
      <c r="N409" s="293"/>
      <c r="O409" s="293"/>
      <c r="P409" s="294"/>
    </row>
    <row r="410" spans="1:16" ht="13.5" customHeight="1">
      <c r="A410" s="90" t="str">
        <f t="shared" si="21"/>
        <v>735 (articulated)</v>
      </c>
      <c r="B410" s="295">
        <v>3226</v>
      </c>
      <c r="C410" s="419">
        <v>3226</v>
      </c>
      <c r="D410" s="419"/>
      <c r="E410" s="419"/>
      <c r="F410" s="419"/>
      <c r="G410" s="293"/>
      <c r="H410" s="293"/>
      <c r="I410" s="293"/>
      <c r="J410" s="293"/>
      <c r="K410" s="293"/>
      <c r="L410" s="293"/>
      <c r="M410" s="293"/>
      <c r="N410" s="293"/>
      <c r="O410" s="293"/>
      <c r="P410" s="294"/>
    </row>
    <row r="411" spans="1:16" ht="13.5" customHeight="1">
      <c r="A411" s="90" t="str">
        <f t="shared" si="21"/>
        <v>740 (articulated)</v>
      </c>
      <c r="B411" s="295">
        <v>4869</v>
      </c>
      <c r="C411" s="419">
        <v>4569</v>
      </c>
      <c r="D411" s="419"/>
      <c r="E411" s="419"/>
      <c r="F411" s="419"/>
      <c r="G411" s="293"/>
      <c r="H411" s="293"/>
      <c r="I411" s="293"/>
      <c r="J411" s="293"/>
      <c r="K411" s="293"/>
      <c r="L411" s="293"/>
      <c r="M411" s="293"/>
      <c r="N411" s="293"/>
      <c r="O411" s="293"/>
      <c r="P411" s="294"/>
    </row>
    <row r="412" spans="1:16" ht="13.5" customHeight="1">
      <c r="A412" s="90" t="str">
        <f t="shared" si="21"/>
        <v>769D</v>
      </c>
      <c r="B412" s="295">
        <v>3303</v>
      </c>
      <c r="C412" s="295">
        <v>3303</v>
      </c>
      <c r="D412" s="295"/>
      <c r="E412" s="295"/>
      <c r="F412" s="293"/>
      <c r="G412" s="293"/>
      <c r="H412" s="293"/>
      <c r="I412" s="293"/>
      <c r="J412" s="293"/>
      <c r="K412" s="293"/>
      <c r="L412" s="293"/>
      <c r="M412" s="293"/>
      <c r="N412" s="293"/>
      <c r="O412" s="293"/>
      <c r="P412" s="294"/>
    </row>
    <row r="413" spans="1:16" ht="13.5" customHeight="1">
      <c r="A413" s="90" t="str">
        <f t="shared" si="21"/>
        <v>773E</v>
      </c>
      <c r="B413" s="295">
        <v>5367</v>
      </c>
      <c r="C413" s="295">
        <v>5367</v>
      </c>
      <c r="D413" s="295"/>
      <c r="E413" s="295"/>
      <c r="F413" s="293"/>
      <c r="G413" s="293"/>
      <c r="H413" s="293"/>
      <c r="I413" s="293"/>
      <c r="J413" s="293"/>
      <c r="K413" s="293"/>
      <c r="L413" s="293"/>
      <c r="M413" s="293"/>
      <c r="N413" s="293"/>
      <c r="O413" s="293"/>
      <c r="P413" s="294"/>
    </row>
    <row r="414" spans="1:16" ht="13.5" customHeight="1">
      <c r="A414" s="90" t="str">
        <f t="shared" si="21"/>
        <v>777D</v>
      </c>
      <c r="B414" s="295">
        <v>10011</v>
      </c>
      <c r="C414" s="295">
        <v>11011</v>
      </c>
      <c r="D414" s="295"/>
      <c r="E414" s="295"/>
      <c r="F414" s="293"/>
      <c r="G414" s="293"/>
      <c r="H414" s="293"/>
      <c r="I414" s="293"/>
      <c r="J414" s="293"/>
      <c r="K414" s="293"/>
      <c r="L414" s="293"/>
      <c r="M414" s="293"/>
      <c r="N414" s="293"/>
      <c r="O414" s="293"/>
      <c r="P414" s="294"/>
    </row>
    <row r="415" spans="1:16" ht="13.5" customHeight="1">
      <c r="A415" s="90" t="str">
        <f t="shared" si="21"/>
        <v>785C</v>
      </c>
      <c r="B415" s="295">
        <v>19655</v>
      </c>
      <c r="C415" s="295">
        <v>19655</v>
      </c>
      <c r="D415" s="295"/>
      <c r="E415" s="295"/>
      <c r="F415" s="293"/>
      <c r="G415" s="293"/>
      <c r="H415" s="293"/>
      <c r="I415" s="293"/>
      <c r="J415" s="293"/>
      <c r="K415" s="293"/>
      <c r="L415" s="293"/>
      <c r="M415" s="293"/>
      <c r="N415" s="293"/>
      <c r="O415" s="293"/>
      <c r="P415" s="294"/>
    </row>
    <row r="416" spans="1:16" ht="13.5" customHeight="1">
      <c r="A416" s="90" t="str">
        <f t="shared" si="21"/>
        <v>793C</v>
      </c>
      <c r="B416" s="295">
        <v>44405</v>
      </c>
      <c r="C416" s="295">
        <v>44405</v>
      </c>
      <c r="D416" s="295"/>
      <c r="E416" s="295"/>
      <c r="F416" s="293"/>
      <c r="G416" s="293"/>
      <c r="H416" s="293"/>
      <c r="I416" s="293"/>
      <c r="J416" s="293"/>
      <c r="K416" s="293"/>
      <c r="L416" s="293"/>
      <c r="M416" s="293"/>
      <c r="N416" s="293"/>
      <c r="O416" s="293"/>
      <c r="P416" s="294"/>
    </row>
    <row r="417" spans="1:16" ht="13.5" customHeight="1">
      <c r="A417" s="90" t="str">
        <f t="shared" si="21"/>
        <v>797B</v>
      </c>
      <c r="B417" s="295">
        <v>52345</v>
      </c>
      <c r="C417" s="295">
        <v>52345</v>
      </c>
      <c r="D417" s="295"/>
      <c r="E417" s="295"/>
      <c r="F417" s="293"/>
      <c r="G417" s="293"/>
      <c r="H417" s="293"/>
      <c r="I417" s="293"/>
      <c r="J417" s="293"/>
      <c r="K417" s="293"/>
      <c r="L417" s="293"/>
      <c r="M417" s="293"/>
      <c r="N417" s="293"/>
      <c r="O417" s="293"/>
      <c r="P417" s="294"/>
    </row>
    <row r="418" spans="1:16" ht="13.5" customHeight="1">
      <c r="A418" s="90" t="str">
        <f t="shared" si="21"/>
        <v>613E (5,000 gal) Water Wagon</v>
      </c>
      <c r="B418" s="295">
        <v>2520</v>
      </c>
      <c r="C418" s="419">
        <v>2420</v>
      </c>
      <c r="D418" s="419"/>
      <c r="E418" s="419"/>
      <c r="F418" s="419"/>
      <c r="G418" s="293"/>
      <c r="H418" s="293"/>
      <c r="I418" s="293"/>
      <c r="J418" s="293"/>
      <c r="K418" s="293"/>
      <c r="L418" s="293"/>
      <c r="M418" s="293"/>
      <c r="N418" s="293"/>
      <c r="O418" s="293"/>
      <c r="P418" s="294"/>
    </row>
    <row r="419" spans="1:16" ht="13.5" customHeight="1">
      <c r="A419" s="90" t="str">
        <f t="shared" si="21"/>
        <v>621E (8,000 gal) Water Wagon</v>
      </c>
      <c r="B419" s="295">
        <v>3835</v>
      </c>
      <c r="C419" s="419">
        <v>3835</v>
      </c>
      <c r="D419" s="419"/>
      <c r="E419" s="419"/>
      <c r="F419" s="419"/>
      <c r="G419" s="293"/>
      <c r="H419" s="293"/>
      <c r="I419" s="293"/>
      <c r="J419" s="293"/>
      <c r="K419" s="293"/>
      <c r="L419" s="293"/>
      <c r="M419" s="293"/>
      <c r="N419" s="293"/>
      <c r="O419" s="293"/>
      <c r="P419" s="294"/>
    </row>
    <row r="420" spans="1:16" ht="13.5" customHeight="1">
      <c r="A420" s="90" t="str">
        <f t="shared" si="21"/>
        <v>777D Water Truck</v>
      </c>
      <c r="B420" s="419">
        <v>10011</v>
      </c>
      <c r="C420" s="419">
        <v>10011</v>
      </c>
      <c r="D420" s="419"/>
      <c r="E420" s="419"/>
      <c r="F420" s="419"/>
      <c r="G420" s="293"/>
      <c r="H420" s="293"/>
      <c r="I420" s="293"/>
      <c r="J420" s="293"/>
      <c r="K420" s="293"/>
      <c r="L420" s="293"/>
      <c r="M420" s="293"/>
      <c r="N420" s="293"/>
      <c r="O420" s="293"/>
      <c r="P420" s="294"/>
    </row>
    <row r="421" spans="1:16" ht="13.5" customHeight="1">
      <c r="A421" s="90" t="str">
        <f t="shared" si="21"/>
        <v>785C Water Truck</v>
      </c>
      <c r="B421" s="295">
        <v>19655</v>
      </c>
      <c r="C421" s="419">
        <v>20655</v>
      </c>
      <c r="D421" s="419"/>
      <c r="E421" s="419"/>
      <c r="F421" s="419"/>
      <c r="G421" s="293"/>
      <c r="H421" s="293"/>
      <c r="I421" s="293"/>
      <c r="J421" s="293"/>
      <c r="K421" s="293"/>
      <c r="L421" s="293"/>
      <c r="M421" s="293"/>
      <c r="N421" s="293"/>
      <c r="O421" s="293"/>
      <c r="P421" s="294"/>
    </row>
    <row r="422" spans="1:16" ht="13.5" customHeight="1" thickBot="1">
      <c r="A422" s="90" t="str">
        <f t="shared" si="21"/>
        <v>Dump Truck (10-12 yd3 ) (5)</v>
      </c>
      <c r="B422" s="295">
        <v>535</v>
      </c>
      <c r="C422" s="419">
        <v>535</v>
      </c>
      <c r="D422" s="419"/>
      <c r="E422" s="419"/>
      <c r="F422" s="419"/>
      <c r="G422" s="293"/>
      <c r="H422" s="293"/>
      <c r="I422" s="293"/>
      <c r="J422" s="293"/>
      <c r="K422" s="293"/>
      <c r="L422" s="293"/>
      <c r="M422" s="293"/>
      <c r="N422" s="293"/>
      <c r="O422" s="293"/>
      <c r="P422" s="294"/>
    </row>
    <row r="423" spans="1:16" ht="15">
      <c r="A423" s="78" t="s">
        <v>81</v>
      </c>
      <c r="B423" s="79"/>
      <c r="C423" s="79"/>
      <c r="D423" s="79"/>
      <c r="E423" s="79"/>
      <c r="F423" s="79"/>
      <c r="G423" s="204"/>
      <c r="H423" s="204"/>
      <c r="I423" s="204"/>
      <c r="J423" s="204"/>
      <c r="K423" s="204"/>
      <c r="L423" s="204"/>
      <c r="M423" s="204"/>
      <c r="N423" s="204"/>
      <c r="O423" s="204"/>
      <c r="P423" s="205"/>
    </row>
    <row r="424" spans="1:16">
      <c r="A424" s="80" t="s">
        <v>192</v>
      </c>
      <c r="B424" s="296" t="s">
        <v>385</v>
      </c>
      <c r="C424" s="296" t="s">
        <v>385</v>
      </c>
      <c r="D424" s="296" t="s">
        <v>385</v>
      </c>
      <c r="E424" s="296" t="s">
        <v>385</v>
      </c>
      <c r="F424" s="591" t="s">
        <v>385</v>
      </c>
      <c r="G424" s="296"/>
      <c r="H424" s="296"/>
      <c r="I424" s="296"/>
      <c r="J424" s="296"/>
      <c r="K424" s="296"/>
      <c r="L424" s="296"/>
      <c r="M424" s="296"/>
      <c r="N424" s="296"/>
      <c r="O424" s="296"/>
      <c r="P424" s="297"/>
    </row>
    <row r="425" spans="1:16">
      <c r="A425" s="80" t="s">
        <v>193</v>
      </c>
      <c r="B425" s="296"/>
      <c r="C425" s="296"/>
      <c r="D425" s="296"/>
      <c r="E425" s="296"/>
      <c r="F425" s="296"/>
      <c r="G425" s="296"/>
      <c r="H425" s="296"/>
      <c r="I425" s="296"/>
      <c r="J425" s="296"/>
      <c r="K425" s="296"/>
      <c r="L425" s="296"/>
      <c r="M425" s="296"/>
      <c r="N425" s="296"/>
      <c r="O425" s="296"/>
      <c r="P425" s="297"/>
    </row>
    <row r="426" spans="1:16">
      <c r="A426" s="80" t="s">
        <v>194</v>
      </c>
      <c r="B426" s="405" t="s">
        <v>409</v>
      </c>
      <c r="C426" s="405"/>
      <c r="D426" s="405"/>
      <c r="E426" s="405"/>
      <c r="F426" s="405"/>
      <c r="G426" s="405"/>
      <c r="H426" s="296"/>
      <c r="I426" s="296"/>
      <c r="J426" s="296"/>
      <c r="K426" s="296"/>
      <c r="L426" s="296"/>
      <c r="M426" s="296"/>
      <c r="N426" s="296"/>
      <c r="O426" s="296"/>
      <c r="P426" s="297"/>
    </row>
    <row r="427" spans="1:16" ht="36.75" thickBot="1">
      <c r="A427" s="160" t="s">
        <v>195</v>
      </c>
      <c r="B427" s="298" t="s">
        <v>386</v>
      </c>
      <c r="C427" s="298" t="s">
        <v>386</v>
      </c>
      <c r="D427" s="298" t="s">
        <v>386</v>
      </c>
      <c r="E427" s="298" t="s">
        <v>386</v>
      </c>
      <c r="F427" s="592" t="s">
        <v>386</v>
      </c>
      <c r="G427" s="298"/>
      <c r="H427" s="298"/>
      <c r="I427" s="298"/>
      <c r="J427" s="298"/>
      <c r="K427" s="298"/>
      <c r="L427" s="298"/>
      <c r="M427" s="298"/>
      <c r="N427" s="298"/>
      <c r="O427" s="298"/>
      <c r="P427" s="299"/>
    </row>
  </sheetData>
  <sheetProtection password="E51C" sheet="1" objects="1" scenarios="1"/>
  <protectedRanges>
    <protectedRange password="8CE6" sqref="B7:P7" name="Hours"/>
    <protectedRange password="8CE6" sqref="B253:P269 B250:P251 B321:P321 B271:P281 B283:P284 B237:P240 B242:P248 B224:P230 B309:P319" name="GETConsuption"/>
    <protectedRange password="8CE6" sqref="B113:P114 B94:P108 B39:P40 G111:P111 B111 B42:P58 B60:P62 B64:P66 B68:P70 B31:P37 B26:P29 B72:P92 B13:P19" name="EquipCost"/>
    <protectedRange password="8CE6" sqref="B147:P148 B150:P166 B206:P216 B218 H218:P218 B134:P137 B139:P145 B121:P127 B180:P200 B300:P303 B285:P291 B294:P295 B392:P394 B397:P398 B403:P406" name="MaintenanceCost"/>
    <protectedRange password="8CE6" sqref="B353:P354 B412:P422 H424:P427 B424:G425 B427:G427 B386:P387 B340:P343 B356:P367" name="TireCosts"/>
    <protectedRange password="8CE6" sqref="C111" name="EquipCost_1"/>
    <protectedRange password="8CE6" sqref="D111" name="EquipCost_2"/>
    <protectedRange password="8CE6" sqref="E111" name="EquipCost_3"/>
    <protectedRange password="8CE6" sqref="F111" name="EquipCost_4"/>
    <protectedRange password="8CE6" sqref="C218" name="EquipCost_9"/>
    <protectedRange password="8CE6" sqref="D218" name="EquipCost_10"/>
    <protectedRange password="8CE6" sqref="E218" name="EquipCost_11"/>
    <protectedRange password="8CE6" sqref="F218" name="EquipCost_12"/>
    <protectedRange password="8CE6" sqref="G218" name="EquipCost_13"/>
    <protectedRange password="8CE6" sqref="B426:C426" name="EquipCost_14"/>
    <protectedRange password="8CE6" sqref="D426" name="EquipCost_15"/>
    <protectedRange password="8CE6" sqref="E426" name="EquipCost_16"/>
    <protectedRange password="8CE6" sqref="F426" name="EquipCost_17"/>
    <protectedRange password="8CE6" sqref="G426" name="EquipCost_18"/>
    <protectedRange password="8CE6" sqref="B21:P24" name="EquipCost_5"/>
    <protectedRange password="8CE6" sqref="B129:P132" name="MaintenanceCost_1"/>
    <protectedRange password="8CE6" sqref="B232:P235" name="GETConsuption_1"/>
    <protectedRange password="8CE6" sqref="B335:P338" name="TireCosts_1"/>
  </protectedRanges>
  <mergeCells count="7">
    <mergeCell ref="A324:A325"/>
    <mergeCell ref="A118:A119"/>
    <mergeCell ref="B2:C2"/>
    <mergeCell ref="B3:C3"/>
    <mergeCell ref="B4:C4"/>
    <mergeCell ref="A221:A222"/>
    <mergeCell ref="A10:A11"/>
  </mergeCells>
  <phoneticPr fontId="10" type="noConversion"/>
  <printOptions horizontalCentered="1"/>
  <pageMargins left="0.22" right="0.25" top="1" bottom="1" header="0.5" footer="0.5"/>
  <pageSetup paperSize="8" fitToHeight="6" orientation="landscape" horizontalDpi="1200" verticalDpi="1200" r:id="rId1"/>
  <headerFooter alignWithMargins="0">
    <oddHeader>&amp;C&amp;"Arial,Bold"&amp;18&amp;A</oddHeader>
  </headerFooter>
  <rowBreaks count="3" manualBreakCount="3">
    <brk id="83" max="16383" man="1"/>
    <brk id="145" max="16383" man="1"/>
    <brk id="20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4"/>
    <pageSetUpPr fitToPage="1"/>
  </sheetPr>
  <dimension ref="A1:BQ200"/>
  <sheetViews>
    <sheetView zoomScale="75" zoomScaleNormal="100" zoomScaleSheetLayoutView="100" workbookViewId="0">
      <pane xSplit="1" ySplit="9" topLeftCell="B10" activePane="bottomRight" state="frozenSplit"/>
      <selection pane="topRight"/>
      <selection pane="bottomLeft" activeCell="A140" sqref="A140:A175"/>
      <selection pane="bottomRight" activeCell="C12" sqref="C12"/>
    </sheetView>
  </sheetViews>
  <sheetFormatPr defaultRowHeight="12.75"/>
  <cols>
    <col min="1" max="1" width="28.140625" style="109" customWidth="1"/>
    <col min="2" max="2" width="13.5703125" style="109" customWidth="1"/>
    <col min="3" max="3" width="8.5703125" style="109" customWidth="1"/>
    <col min="4" max="4" width="13.5703125" style="109" customWidth="1"/>
    <col min="5" max="5" width="8.5703125" style="109" customWidth="1"/>
    <col min="6" max="6" width="13.5703125" style="109" customWidth="1"/>
    <col min="7" max="7" width="8.5703125" style="109" customWidth="1"/>
    <col min="8" max="8" width="13.5703125" style="109" customWidth="1"/>
    <col min="9" max="9" width="8.5703125" style="109" customWidth="1"/>
    <col min="10" max="10" width="13.5703125" style="109" customWidth="1"/>
    <col min="11" max="11" width="8.5703125" style="109" customWidth="1"/>
    <col min="12" max="12" width="13.5703125" style="109" customWidth="1"/>
    <col min="13" max="13" width="8.5703125" style="109" customWidth="1"/>
    <col min="14" max="14" width="13.5703125" style="109" customWidth="1"/>
    <col min="15" max="15" width="8.5703125" style="109" customWidth="1"/>
    <col min="16" max="16" width="13.5703125" style="109" customWidth="1"/>
    <col min="17" max="17" width="8.5703125" style="109" customWidth="1"/>
    <col min="18" max="18" width="13.5703125" style="109" customWidth="1"/>
    <col min="19" max="19" width="8.5703125" style="109" customWidth="1"/>
    <col min="20" max="20" width="13.5703125" style="109" customWidth="1"/>
    <col min="21" max="21" width="8.5703125" style="109" customWidth="1"/>
    <col min="22" max="22" width="13.5703125" style="109" customWidth="1"/>
    <col min="23" max="23" width="8.5703125" style="109" customWidth="1"/>
    <col min="24" max="24" width="13.5703125" style="109" customWidth="1"/>
    <col min="25" max="25" width="8.5703125" style="109" customWidth="1"/>
    <col min="26" max="26" width="13.5703125" style="109" customWidth="1"/>
    <col min="27" max="27" width="8.5703125" style="109" customWidth="1"/>
    <col min="28" max="28" width="13.5703125" style="109" customWidth="1"/>
    <col min="29" max="29" width="8.5703125" style="109" customWidth="1"/>
    <col min="30" max="30" width="13.5703125" style="109" customWidth="1"/>
    <col min="31" max="31" width="8.5703125" style="109" customWidth="1"/>
    <col min="32" max="52" width="9.140625" style="109"/>
    <col min="53" max="78" width="0" style="109" hidden="1" customWidth="1"/>
    <col min="79" max="16384" width="9.140625" style="109"/>
  </cols>
  <sheetData>
    <row r="1" spans="1:69" ht="13.5" thickBot="1"/>
    <row r="2" spans="1:69" ht="15.75">
      <c r="A2" s="81" t="s">
        <v>140</v>
      </c>
      <c r="B2" s="603" t="str">
        <f ca="1">DataFileName</f>
        <v>SRCE_Cost_data-USR_1_12_AustExample.xlsm</v>
      </c>
      <c r="C2" s="604"/>
      <c r="D2" s="604"/>
      <c r="E2" s="123"/>
      <c r="F2" s="123"/>
      <c r="G2" s="122"/>
      <c r="H2" s="6"/>
      <c r="I2" s="6"/>
      <c r="J2" s="6"/>
      <c r="K2" s="6"/>
      <c r="L2" s="6"/>
      <c r="M2" s="6"/>
      <c r="N2" s="6"/>
      <c r="O2" s="6"/>
    </row>
    <row r="3" spans="1:69" ht="15.75">
      <c r="A3" s="82" t="s">
        <v>141</v>
      </c>
      <c r="B3" s="605">
        <f>DataFileDate</f>
        <v>39720</v>
      </c>
      <c r="C3" s="606"/>
      <c r="D3" s="606"/>
      <c r="E3" s="390"/>
      <c r="F3" s="390"/>
      <c r="G3" s="245"/>
      <c r="H3" s="6"/>
      <c r="I3" s="6"/>
      <c r="J3" s="6"/>
      <c r="K3" s="6"/>
      <c r="L3" s="6"/>
      <c r="M3" s="6"/>
      <c r="N3" s="6"/>
      <c r="O3" s="6"/>
    </row>
    <row r="4" spans="1:69" ht="15.75">
      <c r="A4" s="82" t="s">
        <v>143</v>
      </c>
      <c r="B4" s="607" t="str">
        <f>DataCostBasis</f>
        <v>User Data</v>
      </c>
      <c r="C4" s="608"/>
      <c r="D4" s="608"/>
      <c r="E4" s="390"/>
      <c r="F4" s="390"/>
      <c r="G4" s="245"/>
      <c r="H4" s="6"/>
      <c r="I4" s="6"/>
      <c r="J4" s="6"/>
      <c r="K4" s="6"/>
      <c r="L4" s="6"/>
      <c r="M4" s="6"/>
      <c r="N4" s="6"/>
      <c r="O4" s="6"/>
      <c r="BN4" s="110" t="str">
        <f ca="1">MID(CELL("filename",BO4),FIND("[",CELL("filename",BO4))+1,FIND("]",CELL("filename",BO4),FIND("[",CELL("filename",BO4))+1)-FIND("[",CELL("filename",BO4))-1)</f>
        <v>SRCE_Cost_data-USR_1_12_AustExample.xlsm</v>
      </c>
      <c r="BO4" s="111">
        <f ca="1">FIND("]",BQ4,BP4+1)</f>
        <v>121</v>
      </c>
      <c r="BP4" s="111">
        <f ca="1">FIND("[",BQ4)</f>
        <v>80</v>
      </c>
      <c r="BQ4" s="109" t="str">
        <f ca="1">CELL("filename",A1)</f>
        <v>C:\Users\jparshley\ownCloud\__SRCE 2.0\Website - Aug 2016\nvbond.org\downloads\[SRCE_Cost_data-USR_1_12_AustExample.xlsm]Labor Rates</v>
      </c>
    </row>
    <row r="5" spans="1:69" ht="16.5" thickBot="1">
      <c r="A5" s="83" t="s">
        <v>144</v>
      </c>
      <c r="B5" s="391" t="str">
        <f>AuthorSource</f>
        <v>AB Consulting</v>
      </c>
      <c r="C5" s="392"/>
      <c r="D5" s="392"/>
      <c r="E5" s="392"/>
      <c r="F5" s="392"/>
      <c r="G5" s="393"/>
      <c r="H5" s="6"/>
      <c r="I5" s="6"/>
      <c r="J5" s="6"/>
      <c r="K5" s="6"/>
      <c r="L5" s="6"/>
      <c r="M5" s="6"/>
      <c r="N5" s="6"/>
      <c r="O5" s="6"/>
    </row>
    <row r="6" spans="1:69" ht="15.7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69" ht="24" thickBot="1">
      <c r="A7" s="520" t="s">
        <v>156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5"/>
      <c r="AB7" s="105"/>
      <c r="AC7" s="105"/>
      <c r="AD7" s="105"/>
      <c r="AE7" s="106"/>
      <c r="AF7" s="10"/>
      <c r="AG7" s="10"/>
      <c r="AH7" s="3"/>
      <c r="AI7" s="3"/>
    </row>
    <row r="8" spans="1:69" ht="15.75">
      <c r="A8" s="627" t="s">
        <v>164</v>
      </c>
      <c r="B8" s="631" t="s">
        <v>259</v>
      </c>
      <c r="C8" s="630"/>
      <c r="D8" s="629" t="s">
        <v>260</v>
      </c>
      <c r="E8" s="630"/>
      <c r="F8" s="629" t="s">
        <v>261</v>
      </c>
      <c r="G8" s="630"/>
      <c r="H8" s="629" t="s">
        <v>262</v>
      </c>
      <c r="I8" s="630"/>
      <c r="J8" s="629" t="s">
        <v>263</v>
      </c>
      <c r="K8" s="630"/>
      <c r="L8" s="629" t="s">
        <v>264</v>
      </c>
      <c r="M8" s="630"/>
      <c r="N8" s="629" t="s">
        <v>265</v>
      </c>
      <c r="O8" s="630"/>
      <c r="P8" s="629" t="s">
        <v>266</v>
      </c>
      <c r="Q8" s="630"/>
      <c r="R8" s="629" t="s">
        <v>267</v>
      </c>
      <c r="S8" s="630"/>
      <c r="T8" s="629" t="s">
        <v>268</v>
      </c>
      <c r="U8" s="630"/>
      <c r="V8" s="629" t="s">
        <v>269</v>
      </c>
      <c r="W8" s="630"/>
      <c r="X8" s="629" t="s">
        <v>270</v>
      </c>
      <c r="Y8" s="630"/>
      <c r="Z8" s="629" t="s">
        <v>271</v>
      </c>
      <c r="AA8" s="630"/>
      <c r="AB8" s="629" t="s">
        <v>272</v>
      </c>
      <c r="AC8" s="630"/>
      <c r="AD8" s="629" t="s">
        <v>273</v>
      </c>
      <c r="AE8" s="630"/>
    </row>
    <row r="9" spans="1:69" ht="30" customHeight="1" thickBot="1">
      <c r="A9" s="628"/>
      <c r="B9" s="624" t="str">
        <f>IF(ISBLANK(VLOOKUP(B8,RegionNames,2,FALSE)),"",VLOOKUP(B8,RegionNames,2,FALSE))</f>
        <v>WA ARO</v>
      </c>
      <c r="C9" s="623"/>
      <c r="D9" s="622" t="str">
        <f>IF(ISBLANK(VLOOKUP(D8,RegionNames,2,FALSE)),"",VLOOKUP(D8,RegionNames,2,FALSE))</f>
        <v>WA LOM - site costs</v>
      </c>
      <c r="E9" s="623"/>
      <c r="F9" s="622" t="str">
        <f>IF(ISBLANK(VLOOKUP(F8,RegionNames,2,FALSE)),"",VLOOKUP(F8,RegionNames,2,FALSE))</f>
        <v/>
      </c>
      <c r="G9" s="623"/>
      <c r="H9" s="622" t="str">
        <f>IF(ISBLANK(VLOOKUP(H8,RegionNames,2,FALSE)),"",VLOOKUP(H8,RegionNames,2,FALSE))</f>
        <v/>
      </c>
      <c r="I9" s="623"/>
      <c r="J9" s="622" t="str">
        <f>IF(ISBLANK(VLOOKUP(J8,RegionNames,2,FALSE)),"",VLOOKUP(J8,RegionNames,2,FALSE))</f>
        <v/>
      </c>
      <c r="K9" s="623"/>
      <c r="L9" s="622" t="str">
        <f>IF(ISBLANK(VLOOKUP(L8,RegionNames,2,FALSE)),"",VLOOKUP(L8,RegionNames,2,FALSE))</f>
        <v/>
      </c>
      <c r="M9" s="623"/>
      <c r="N9" s="622" t="str">
        <f>IF(ISBLANK(VLOOKUP(N8,RegionNames,2,FALSE)),"",VLOOKUP(N8,RegionNames,2,FALSE))</f>
        <v/>
      </c>
      <c r="O9" s="623"/>
      <c r="P9" s="622" t="str">
        <f>IF(ISBLANK(VLOOKUP(P8,RegionNames,2,FALSE)),"",VLOOKUP(P8,RegionNames,2,FALSE))</f>
        <v/>
      </c>
      <c r="Q9" s="623"/>
      <c r="R9" s="622" t="str">
        <f>IF(ISBLANK(VLOOKUP(R8,RegionNames,2,FALSE)),"",VLOOKUP(R8,RegionNames,2,FALSE))</f>
        <v/>
      </c>
      <c r="S9" s="623"/>
      <c r="T9" s="622" t="str">
        <f>IF(ISBLANK(VLOOKUP(T8,RegionNames,2,FALSE)),"",VLOOKUP(T8,RegionNames,2,FALSE))</f>
        <v/>
      </c>
      <c r="U9" s="623"/>
      <c r="V9" s="622" t="str">
        <f>IF(ISBLANK(VLOOKUP(V8,RegionNames,2,FALSE)),"",VLOOKUP(V8,RegionNames,2,FALSE))</f>
        <v/>
      </c>
      <c r="W9" s="623"/>
      <c r="X9" s="622" t="str">
        <f>IF(ISBLANK(VLOOKUP(X8,RegionNames,2,FALSE)),"",VLOOKUP(X8,RegionNames,2,FALSE))</f>
        <v/>
      </c>
      <c r="Y9" s="623"/>
      <c r="Z9" s="622" t="str">
        <f>IF(ISBLANK(VLOOKUP(Z8,RegionNames,2,FALSE)),"",VLOOKUP(Z8,RegionNames,2,FALSE))</f>
        <v/>
      </c>
      <c r="AA9" s="623"/>
      <c r="AB9" s="622" t="str">
        <f>IF(ISBLANK(VLOOKUP(AB8,RegionNames,2,FALSE)),"",VLOOKUP(AB8,RegionNames,2,FALSE))</f>
        <v/>
      </c>
      <c r="AC9" s="623"/>
      <c r="AD9" s="622" t="str">
        <f>IF(ISBLANK(VLOOKUP(AD8,RegionNames,2,FALSE)),"",VLOOKUP(AD8,RegionNames,2,FALSE))</f>
        <v/>
      </c>
      <c r="AE9" s="623"/>
    </row>
    <row r="10" spans="1:69" ht="19.5" thickBot="1">
      <c r="A10" s="521" t="s">
        <v>165</v>
      </c>
      <c r="B10" s="113"/>
      <c r="C10" s="114"/>
      <c r="D10" s="144"/>
      <c r="E10" s="114"/>
      <c r="F10" s="144"/>
      <c r="G10" s="114"/>
      <c r="H10" s="144"/>
      <c r="I10" s="114"/>
      <c r="J10" s="144"/>
      <c r="K10" s="114"/>
      <c r="L10" s="144"/>
      <c r="M10" s="114"/>
      <c r="N10" s="144"/>
      <c r="O10" s="114"/>
      <c r="P10" s="144"/>
      <c r="Q10" s="114"/>
      <c r="R10" s="144"/>
      <c r="S10" s="114"/>
      <c r="T10" s="144"/>
      <c r="U10" s="114"/>
      <c r="V10" s="144"/>
      <c r="W10" s="114"/>
      <c r="X10" s="144"/>
      <c r="Y10" s="114"/>
      <c r="Z10" s="144"/>
      <c r="AA10" s="114"/>
      <c r="AB10" s="144"/>
      <c r="AC10" s="114"/>
      <c r="AD10" s="144"/>
      <c r="AE10" s="114"/>
    </row>
    <row r="11" spans="1:69" ht="16.5" thickBot="1">
      <c r="A11" s="410" t="s">
        <v>41</v>
      </c>
      <c r="B11" s="492"/>
      <c r="C11" s="395"/>
      <c r="D11" s="145"/>
      <c r="E11" s="395"/>
      <c r="F11" s="145"/>
      <c r="G11" s="395"/>
      <c r="H11" s="145"/>
      <c r="I11" s="395"/>
      <c r="J11" s="145"/>
      <c r="K11" s="395"/>
      <c r="L11" s="145"/>
      <c r="M11" s="395"/>
      <c r="N11" s="145"/>
      <c r="O11" s="395"/>
      <c r="P11" s="145"/>
      <c r="Q11" s="395"/>
      <c r="R11" s="145"/>
      <c r="S11" s="395"/>
      <c r="T11" s="145"/>
      <c r="U11" s="395"/>
      <c r="V11" s="145"/>
      <c r="W11" s="395"/>
      <c r="X11" s="145"/>
      <c r="Y11" s="395"/>
      <c r="Z11" s="145"/>
      <c r="AA11" s="395"/>
      <c r="AB11" s="145"/>
      <c r="AC11" s="395"/>
      <c r="AD11" s="145"/>
      <c r="AE11" s="395"/>
    </row>
    <row r="12" spans="1:69">
      <c r="A12" s="522" t="s">
        <v>42</v>
      </c>
      <c r="B12" s="493"/>
      <c r="C12" s="394">
        <v>63.86</v>
      </c>
      <c r="D12" s="300"/>
      <c r="E12" s="394">
        <v>40.409999999999997</v>
      </c>
      <c r="F12" s="300"/>
      <c r="G12" s="394"/>
      <c r="H12" s="300"/>
      <c r="I12" s="394"/>
      <c r="J12" s="300"/>
      <c r="K12" s="428"/>
      <c r="L12" s="429"/>
      <c r="M12" s="428"/>
      <c r="N12" s="429"/>
      <c r="O12" s="428"/>
      <c r="P12" s="429"/>
      <c r="Q12" s="428"/>
      <c r="R12" s="429"/>
      <c r="S12" s="428"/>
      <c r="T12" s="429"/>
      <c r="U12" s="428"/>
      <c r="V12" s="429"/>
      <c r="W12" s="428"/>
      <c r="X12" s="429"/>
      <c r="Y12" s="428"/>
      <c r="Z12" s="429"/>
      <c r="AA12" s="428"/>
      <c r="AB12" s="429"/>
      <c r="AC12" s="428"/>
      <c r="AD12" s="429"/>
      <c r="AE12" s="428"/>
    </row>
    <row r="13" spans="1:69">
      <c r="A13" s="523" t="s">
        <v>5</v>
      </c>
      <c r="B13" s="493"/>
      <c r="C13" s="394">
        <v>63.86</v>
      </c>
      <c r="D13" s="300"/>
      <c r="E13" s="394">
        <v>40.409999999999997</v>
      </c>
      <c r="F13" s="300"/>
      <c r="G13" s="394"/>
      <c r="H13" s="300"/>
      <c r="I13" s="394"/>
      <c r="J13" s="300"/>
      <c r="K13" s="428"/>
      <c r="L13" s="429"/>
      <c r="M13" s="428"/>
      <c r="N13" s="429"/>
      <c r="O13" s="428"/>
      <c r="P13" s="429"/>
      <c r="Q13" s="428"/>
      <c r="R13" s="429"/>
      <c r="S13" s="428"/>
      <c r="T13" s="429"/>
      <c r="U13" s="428"/>
      <c r="V13" s="429"/>
      <c r="W13" s="428"/>
      <c r="X13" s="429"/>
      <c r="Y13" s="428"/>
      <c r="Z13" s="429"/>
      <c r="AA13" s="428"/>
      <c r="AB13" s="429"/>
      <c r="AC13" s="428"/>
      <c r="AD13" s="429"/>
      <c r="AE13" s="428"/>
    </row>
    <row r="14" spans="1:69">
      <c r="A14" s="524" t="s">
        <v>43</v>
      </c>
      <c r="B14" s="494"/>
      <c r="C14" s="394">
        <v>63.86</v>
      </c>
      <c r="D14" s="300"/>
      <c r="E14" s="470">
        <v>40.409999999999997</v>
      </c>
      <c r="F14" s="300"/>
      <c r="G14" s="394"/>
      <c r="H14" s="300"/>
      <c r="I14" s="394"/>
      <c r="J14" s="300"/>
      <c r="K14" s="428"/>
      <c r="L14" s="430"/>
      <c r="M14" s="309"/>
      <c r="N14" s="430"/>
      <c r="O14" s="309"/>
      <c r="P14" s="430"/>
      <c r="Q14" s="309"/>
      <c r="R14" s="430"/>
      <c r="S14" s="309"/>
      <c r="T14" s="430"/>
      <c r="U14" s="309"/>
      <c r="V14" s="430"/>
      <c r="W14" s="309"/>
      <c r="X14" s="430"/>
      <c r="Y14" s="309"/>
      <c r="Z14" s="430"/>
      <c r="AA14" s="309"/>
      <c r="AB14" s="430"/>
      <c r="AC14" s="309"/>
      <c r="AD14" s="430"/>
      <c r="AE14" s="309"/>
    </row>
    <row r="15" spans="1:69">
      <c r="A15" s="524" t="s">
        <v>44</v>
      </c>
      <c r="B15" s="494"/>
      <c r="C15" s="394">
        <v>63.86</v>
      </c>
      <c r="D15" s="300"/>
      <c r="E15" s="470">
        <v>40.409999999999997</v>
      </c>
      <c r="F15" s="300"/>
      <c r="G15" s="394"/>
      <c r="H15" s="300"/>
      <c r="I15" s="394"/>
      <c r="J15" s="300"/>
      <c r="K15" s="428"/>
      <c r="L15" s="430"/>
      <c r="M15" s="309"/>
      <c r="N15" s="430"/>
      <c r="O15" s="309"/>
      <c r="P15" s="430"/>
      <c r="Q15" s="309"/>
      <c r="R15" s="430"/>
      <c r="S15" s="309"/>
      <c r="T15" s="430"/>
      <c r="U15" s="309"/>
      <c r="V15" s="430"/>
      <c r="W15" s="309"/>
      <c r="X15" s="430"/>
      <c r="Y15" s="309"/>
      <c r="Z15" s="430"/>
      <c r="AA15" s="309"/>
      <c r="AB15" s="430"/>
      <c r="AC15" s="309"/>
      <c r="AD15" s="430"/>
      <c r="AE15" s="309"/>
    </row>
    <row r="16" spans="1:69">
      <c r="A16" s="524" t="s">
        <v>45</v>
      </c>
      <c r="B16" s="494"/>
      <c r="C16" s="394">
        <v>63.86</v>
      </c>
      <c r="D16" s="300"/>
      <c r="E16" s="470">
        <v>40.409999999999997</v>
      </c>
      <c r="F16" s="300"/>
      <c r="G16" s="394"/>
      <c r="H16" s="300"/>
      <c r="I16" s="394"/>
      <c r="J16" s="300"/>
      <c r="K16" s="428"/>
      <c r="L16" s="430"/>
      <c r="M16" s="309"/>
      <c r="N16" s="430"/>
      <c r="O16" s="309"/>
      <c r="P16" s="430"/>
      <c r="Q16" s="309"/>
      <c r="R16" s="430"/>
      <c r="S16" s="309"/>
      <c r="T16" s="430"/>
      <c r="U16" s="309"/>
      <c r="V16" s="430"/>
      <c r="W16" s="309"/>
      <c r="X16" s="430"/>
      <c r="Y16" s="309"/>
      <c r="Z16" s="430"/>
      <c r="AA16" s="309"/>
      <c r="AB16" s="430"/>
      <c r="AC16" s="309"/>
      <c r="AD16" s="430"/>
      <c r="AE16" s="309"/>
    </row>
    <row r="17" spans="1:31">
      <c r="A17" s="525" t="s">
        <v>46</v>
      </c>
      <c r="B17" s="495"/>
      <c r="C17" s="394">
        <v>66.06</v>
      </c>
      <c r="D17" s="300"/>
      <c r="E17" s="470">
        <v>42.54</v>
      </c>
      <c r="F17" s="300"/>
      <c r="G17" s="394"/>
      <c r="H17" s="300"/>
      <c r="I17" s="394"/>
      <c r="J17" s="300"/>
      <c r="K17" s="428"/>
      <c r="L17" s="431"/>
      <c r="M17" s="309"/>
      <c r="N17" s="431"/>
      <c r="O17" s="309"/>
      <c r="P17" s="431"/>
      <c r="Q17" s="309"/>
      <c r="R17" s="431"/>
      <c r="S17" s="309"/>
      <c r="T17" s="431"/>
      <c r="U17" s="309"/>
      <c r="V17" s="431"/>
      <c r="W17" s="309"/>
      <c r="X17" s="431"/>
      <c r="Y17" s="309"/>
      <c r="Z17" s="431"/>
      <c r="AA17" s="309"/>
      <c r="AB17" s="431"/>
      <c r="AC17" s="309"/>
      <c r="AD17" s="431"/>
      <c r="AE17" s="309"/>
    </row>
    <row r="18" spans="1:31" ht="13.5" thickBot="1">
      <c r="A18" s="526" t="s">
        <v>47</v>
      </c>
      <c r="B18" s="493"/>
      <c r="C18" s="394">
        <v>66.06</v>
      </c>
      <c r="D18" s="300"/>
      <c r="E18" s="470">
        <v>42.54</v>
      </c>
      <c r="F18" s="300"/>
      <c r="G18" s="394"/>
      <c r="H18" s="300"/>
      <c r="I18" s="394"/>
      <c r="J18" s="300"/>
      <c r="K18" s="428"/>
      <c r="L18" s="429"/>
      <c r="M18" s="428"/>
      <c r="N18" s="429"/>
      <c r="O18" s="428"/>
      <c r="P18" s="429"/>
      <c r="Q18" s="428"/>
      <c r="R18" s="429"/>
      <c r="S18" s="428"/>
      <c r="T18" s="429"/>
      <c r="U18" s="428"/>
      <c r="V18" s="429"/>
      <c r="W18" s="428"/>
      <c r="X18" s="429"/>
      <c r="Y18" s="428"/>
      <c r="Z18" s="429"/>
      <c r="AA18" s="428"/>
      <c r="AB18" s="429"/>
      <c r="AC18" s="428"/>
      <c r="AD18" s="429"/>
      <c r="AE18" s="428"/>
    </row>
    <row r="19" spans="1:31" ht="16.5" thickBot="1">
      <c r="A19" s="410" t="s">
        <v>365</v>
      </c>
      <c r="B19" s="492"/>
      <c r="C19" s="395"/>
      <c r="D19" s="145"/>
      <c r="E19" s="395"/>
      <c r="F19" s="145"/>
      <c r="G19" s="395"/>
      <c r="H19" s="145"/>
      <c r="I19" s="395"/>
      <c r="J19" s="145"/>
      <c r="K19" s="395"/>
      <c r="L19" s="145"/>
      <c r="M19" s="395"/>
      <c r="N19" s="145"/>
      <c r="O19" s="395"/>
      <c r="P19" s="145"/>
      <c r="Q19" s="395"/>
      <c r="R19" s="145"/>
      <c r="S19" s="395"/>
      <c r="T19" s="145"/>
      <c r="U19" s="395"/>
      <c r="V19" s="145"/>
      <c r="W19" s="395"/>
      <c r="X19" s="145"/>
      <c r="Y19" s="395"/>
      <c r="Z19" s="145"/>
      <c r="AA19" s="395"/>
      <c r="AB19" s="145"/>
      <c r="AC19" s="395"/>
      <c r="AD19" s="145"/>
      <c r="AE19" s="395"/>
    </row>
    <row r="20" spans="1:31">
      <c r="A20" s="522" t="s">
        <v>366</v>
      </c>
      <c r="B20" s="493"/>
      <c r="C20" s="394"/>
      <c r="D20" s="300"/>
      <c r="E20" s="394"/>
      <c r="F20" s="300"/>
      <c r="G20" s="394"/>
      <c r="H20" s="300"/>
      <c r="I20" s="394"/>
      <c r="J20" s="300"/>
      <c r="K20" s="428"/>
      <c r="L20" s="429"/>
      <c r="M20" s="428"/>
      <c r="N20" s="429"/>
      <c r="O20" s="428"/>
      <c r="P20" s="429"/>
      <c r="Q20" s="428"/>
      <c r="R20" s="429"/>
      <c r="S20" s="428"/>
      <c r="T20" s="429"/>
      <c r="U20" s="428"/>
      <c r="V20" s="429"/>
      <c r="W20" s="428"/>
      <c r="X20" s="429"/>
      <c r="Y20" s="428"/>
      <c r="Z20" s="429"/>
      <c r="AA20" s="428"/>
      <c r="AB20" s="429"/>
      <c r="AC20" s="428"/>
      <c r="AD20" s="429"/>
      <c r="AE20" s="428"/>
    </row>
    <row r="21" spans="1:31">
      <c r="A21" s="523" t="s">
        <v>367</v>
      </c>
      <c r="B21" s="493"/>
      <c r="C21" s="394"/>
      <c r="D21" s="300"/>
      <c r="E21" s="394"/>
      <c r="F21" s="300"/>
      <c r="G21" s="394"/>
      <c r="H21" s="300"/>
      <c r="I21" s="394"/>
      <c r="J21" s="300"/>
      <c r="K21" s="428"/>
      <c r="L21" s="429"/>
      <c r="M21" s="428"/>
      <c r="N21" s="429"/>
      <c r="O21" s="428"/>
      <c r="P21" s="429"/>
      <c r="Q21" s="428"/>
      <c r="R21" s="429"/>
      <c r="S21" s="428"/>
      <c r="T21" s="429"/>
      <c r="U21" s="428"/>
      <c r="V21" s="429"/>
      <c r="W21" s="428"/>
      <c r="X21" s="429"/>
      <c r="Y21" s="428"/>
      <c r="Z21" s="429"/>
      <c r="AA21" s="428"/>
      <c r="AB21" s="429"/>
      <c r="AC21" s="428"/>
      <c r="AD21" s="429"/>
      <c r="AE21" s="428"/>
    </row>
    <row r="22" spans="1:31">
      <c r="A22" s="571">
        <v>844</v>
      </c>
      <c r="B22" s="494"/>
      <c r="C22" s="394"/>
      <c r="D22" s="300"/>
      <c r="E22" s="470"/>
      <c r="F22" s="300"/>
      <c r="G22" s="394"/>
      <c r="H22" s="300"/>
      <c r="I22" s="394"/>
      <c r="J22" s="300"/>
      <c r="K22" s="428"/>
      <c r="L22" s="430"/>
      <c r="M22" s="309"/>
      <c r="N22" s="430"/>
      <c r="O22" s="309"/>
      <c r="P22" s="430"/>
      <c r="Q22" s="309"/>
      <c r="R22" s="430"/>
      <c r="S22" s="309"/>
      <c r="T22" s="430"/>
      <c r="U22" s="309"/>
      <c r="V22" s="430"/>
      <c r="W22" s="309"/>
      <c r="X22" s="430"/>
      <c r="Y22" s="309"/>
      <c r="Z22" s="430"/>
      <c r="AA22" s="309"/>
      <c r="AB22" s="430"/>
      <c r="AC22" s="309"/>
      <c r="AD22" s="430"/>
      <c r="AE22" s="309"/>
    </row>
    <row r="23" spans="1:31" ht="13.5" thickBot="1">
      <c r="A23" s="524" t="s">
        <v>368</v>
      </c>
      <c r="B23" s="494"/>
      <c r="C23" s="394"/>
      <c r="D23" s="300"/>
      <c r="E23" s="470"/>
      <c r="F23" s="300"/>
      <c r="G23" s="394"/>
      <c r="H23" s="300"/>
      <c r="I23" s="394"/>
      <c r="J23" s="300"/>
      <c r="K23" s="428"/>
      <c r="L23" s="430"/>
      <c r="M23" s="309"/>
      <c r="N23" s="430"/>
      <c r="O23" s="309"/>
      <c r="P23" s="430"/>
      <c r="Q23" s="309"/>
      <c r="R23" s="430"/>
      <c r="S23" s="309"/>
      <c r="T23" s="430"/>
      <c r="U23" s="309"/>
      <c r="V23" s="430"/>
      <c r="W23" s="309"/>
      <c r="X23" s="430"/>
      <c r="Y23" s="309"/>
      <c r="Z23" s="430"/>
      <c r="AA23" s="309"/>
      <c r="AB23" s="430"/>
      <c r="AC23" s="309"/>
      <c r="AD23" s="430"/>
      <c r="AE23" s="309"/>
    </row>
    <row r="24" spans="1:31" ht="16.5" thickBot="1">
      <c r="A24" s="410" t="s">
        <v>48</v>
      </c>
      <c r="B24" s="492"/>
      <c r="C24" s="115"/>
      <c r="D24" s="145"/>
      <c r="E24" s="115"/>
      <c r="F24" s="145"/>
      <c r="G24" s="115"/>
      <c r="H24" s="145"/>
      <c r="I24" s="115"/>
      <c r="J24" s="145"/>
      <c r="K24" s="115"/>
      <c r="L24" s="145"/>
      <c r="M24" s="115"/>
      <c r="N24" s="145"/>
      <c r="O24" s="115"/>
      <c r="P24" s="145"/>
      <c r="Q24" s="115"/>
      <c r="R24" s="145"/>
      <c r="S24" s="115"/>
      <c r="T24" s="145"/>
      <c r="U24" s="115"/>
      <c r="V24" s="145"/>
      <c r="W24" s="115"/>
      <c r="X24" s="145"/>
      <c r="Y24" s="115"/>
      <c r="Z24" s="145"/>
      <c r="AA24" s="115"/>
      <c r="AB24" s="145"/>
      <c r="AC24" s="115"/>
      <c r="AD24" s="145"/>
      <c r="AE24" s="115"/>
    </row>
    <row r="25" spans="1:31">
      <c r="A25" s="565" t="s">
        <v>358</v>
      </c>
      <c r="B25" s="493"/>
      <c r="C25" s="394">
        <v>63.86</v>
      </c>
      <c r="D25" s="300"/>
      <c r="E25" s="470">
        <v>40.409999999999997</v>
      </c>
      <c r="F25" s="300"/>
      <c r="G25" s="428"/>
      <c r="H25" s="300"/>
      <c r="I25" s="428"/>
      <c r="J25" s="300"/>
      <c r="K25" s="428"/>
      <c r="L25" s="429"/>
      <c r="M25" s="428"/>
      <c r="N25" s="429"/>
      <c r="O25" s="428"/>
      <c r="P25" s="429"/>
      <c r="Q25" s="428"/>
      <c r="R25" s="429"/>
      <c r="S25" s="428"/>
      <c r="T25" s="429"/>
      <c r="U25" s="428"/>
      <c r="V25" s="429"/>
      <c r="W25" s="428"/>
      <c r="X25" s="429"/>
      <c r="Y25" s="428"/>
      <c r="Z25" s="429"/>
      <c r="AA25" s="428"/>
      <c r="AB25" s="429"/>
      <c r="AC25" s="428"/>
      <c r="AD25" s="429"/>
      <c r="AE25" s="428"/>
    </row>
    <row r="26" spans="1:31">
      <c r="A26" s="527" t="s">
        <v>49</v>
      </c>
      <c r="B26" s="493"/>
      <c r="C26" s="394">
        <v>63.86</v>
      </c>
      <c r="D26" s="300"/>
      <c r="E26" s="470">
        <v>40.409999999999997</v>
      </c>
      <c r="F26" s="300"/>
      <c r="G26" s="428"/>
      <c r="H26" s="300"/>
      <c r="I26" s="428"/>
      <c r="J26" s="300"/>
      <c r="K26" s="428"/>
      <c r="L26" s="429"/>
      <c r="M26" s="428"/>
      <c r="N26" s="429"/>
      <c r="O26" s="428"/>
      <c r="P26" s="429"/>
      <c r="Q26" s="428"/>
      <c r="R26" s="429"/>
      <c r="S26" s="428"/>
      <c r="T26" s="429"/>
      <c r="U26" s="428"/>
      <c r="V26" s="429"/>
      <c r="W26" s="428"/>
      <c r="X26" s="429"/>
      <c r="Y26" s="428"/>
      <c r="Z26" s="429"/>
      <c r="AA26" s="428"/>
      <c r="AB26" s="429"/>
      <c r="AC26" s="428"/>
      <c r="AD26" s="429"/>
      <c r="AE26" s="428"/>
    </row>
    <row r="27" spans="1:31">
      <c r="A27" s="527" t="s">
        <v>50</v>
      </c>
      <c r="B27" s="497"/>
      <c r="C27" s="394">
        <v>63.86</v>
      </c>
      <c r="D27" s="300"/>
      <c r="E27" s="470">
        <v>40.409999999999997</v>
      </c>
      <c r="F27" s="300"/>
      <c r="G27" s="428"/>
      <c r="H27" s="300"/>
      <c r="I27" s="428"/>
      <c r="J27" s="300"/>
      <c r="K27" s="428"/>
      <c r="L27" s="432"/>
      <c r="M27" s="428"/>
      <c r="N27" s="432"/>
      <c r="O27" s="428"/>
      <c r="P27" s="432"/>
      <c r="Q27" s="428"/>
      <c r="R27" s="432"/>
      <c r="S27" s="428"/>
      <c r="T27" s="432"/>
      <c r="U27" s="428"/>
      <c r="V27" s="432"/>
      <c r="W27" s="428"/>
      <c r="X27" s="432"/>
      <c r="Y27" s="428"/>
      <c r="Z27" s="432"/>
      <c r="AA27" s="428"/>
      <c r="AB27" s="432"/>
      <c r="AC27" s="428"/>
      <c r="AD27" s="432"/>
      <c r="AE27" s="428"/>
    </row>
    <row r="28" spans="1:31" ht="13.5" thickBot="1">
      <c r="A28" s="566" t="s">
        <v>381</v>
      </c>
      <c r="B28" s="495"/>
      <c r="C28" s="394">
        <v>63.86</v>
      </c>
      <c r="D28" s="300"/>
      <c r="E28" s="470">
        <v>40.409999999999997</v>
      </c>
      <c r="F28" s="300"/>
      <c r="G28" s="428"/>
      <c r="H28" s="300"/>
      <c r="I28" s="428"/>
      <c r="J28" s="300"/>
      <c r="K28" s="428"/>
      <c r="L28" s="431"/>
      <c r="M28" s="309"/>
      <c r="N28" s="431"/>
      <c r="O28" s="309"/>
      <c r="P28" s="431"/>
      <c r="Q28" s="309"/>
      <c r="R28" s="431"/>
      <c r="S28" s="309"/>
      <c r="T28" s="431"/>
      <c r="U28" s="309"/>
      <c r="V28" s="431"/>
      <c r="W28" s="309"/>
      <c r="X28" s="431"/>
      <c r="Y28" s="309"/>
      <c r="Z28" s="431"/>
      <c r="AA28" s="309"/>
      <c r="AB28" s="431"/>
      <c r="AC28" s="309"/>
      <c r="AD28" s="431"/>
      <c r="AE28" s="309"/>
    </row>
    <row r="29" spans="1:31" ht="16.5" thickBot="1">
      <c r="A29" s="410" t="s">
        <v>51</v>
      </c>
      <c r="B29" s="496"/>
      <c r="C29" s="213"/>
      <c r="D29" s="212"/>
      <c r="E29" s="213"/>
      <c r="F29" s="212"/>
      <c r="G29" s="213"/>
      <c r="H29" s="212"/>
      <c r="I29" s="213"/>
      <c r="J29" s="212"/>
      <c r="K29" s="213"/>
      <c r="L29" s="212"/>
      <c r="M29" s="213"/>
      <c r="N29" s="212"/>
      <c r="O29" s="213"/>
      <c r="P29" s="212"/>
      <c r="Q29" s="213"/>
      <c r="R29" s="212"/>
      <c r="S29" s="213"/>
      <c r="T29" s="212"/>
      <c r="U29" s="213"/>
      <c r="V29" s="212"/>
      <c r="W29" s="213"/>
      <c r="X29" s="212"/>
      <c r="Y29" s="213"/>
      <c r="Z29" s="212"/>
      <c r="AA29" s="213"/>
      <c r="AB29" s="212"/>
      <c r="AC29" s="213"/>
      <c r="AD29" s="212"/>
      <c r="AE29" s="213"/>
    </row>
    <row r="30" spans="1:31">
      <c r="A30" s="565" t="s">
        <v>359</v>
      </c>
      <c r="B30" s="493"/>
      <c r="C30" s="301">
        <v>63.86</v>
      </c>
      <c r="D30" s="300"/>
      <c r="E30" s="470">
        <v>40.409999999999997</v>
      </c>
      <c r="F30" s="300"/>
      <c r="G30" s="301"/>
      <c r="H30" s="300"/>
      <c r="I30" s="301"/>
      <c r="J30" s="429"/>
      <c r="K30" s="428"/>
      <c r="L30" s="429"/>
      <c r="M30" s="428"/>
      <c r="N30" s="429"/>
      <c r="O30" s="428"/>
      <c r="P30" s="429"/>
      <c r="Q30" s="428"/>
      <c r="R30" s="429"/>
      <c r="S30" s="428"/>
      <c r="T30" s="429"/>
      <c r="U30" s="428"/>
      <c r="V30" s="429"/>
      <c r="W30" s="428"/>
      <c r="X30" s="429"/>
      <c r="Y30" s="428"/>
      <c r="Z30" s="429"/>
      <c r="AA30" s="428"/>
      <c r="AB30" s="429"/>
      <c r="AC30" s="428"/>
      <c r="AD30" s="429"/>
      <c r="AE30" s="428"/>
    </row>
    <row r="31" spans="1:31">
      <c r="A31" s="522" t="s">
        <v>52</v>
      </c>
      <c r="B31" s="493"/>
      <c r="C31" s="301">
        <v>63.86</v>
      </c>
      <c r="D31" s="300"/>
      <c r="E31" s="470">
        <v>40.409999999999997</v>
      </c>
      <c r="F31" s="300"/>
      <c r="G31" s="301"/>
      <c r="H31" s="300"/>
      <c r="I31" s="301"/>
      <c r="J31" s="429"/>
      <c r="K31" s="428"/>
      <c r="L31" s="429"/>
      <c r="M31" s="428"/>
      <c r="N31" s="429"/>
      <c r="O31" s="428"/>
      <c r="P31" s="429"/>
      <c r="Q31" s="428"/>
      <c r="R31" s="429"/>
      <c r="S31" s="428"/>
      <c r="T31" s="429"/>
      <c r="U31" s="428"/>
      <c r="V31" s="429"/>
      <c r="W31" s="428"/>
      <c r="X31" s="429"/>
      <c r="Y31" s="428"/>
      <c r="Z31" s="429"/>
      <c r="AA31" s="428"/>
      <c r="AB31" s="429"/>
      <c r="AC31" s="428"/>
      <c r="AD31" s="429"/>
      <c r="AE31" s="428"/>
    </row>
    <row r="32" spans="1:31">
      <c r="A32" s="522" t="s">
        <v>53</v>
      </c>
      <c r="B32" s="494"/>
      <c r="C32" s="301">
        <v>63.86</v>
      </c>
      <c r="D32" s="300"/>
      <c r="E32" s="470">
        <v>40.409999999999997</v>
      </c>
      <c r="F32" s="300"/>
      <c r="G32" s="301"/>
      <c r="H32" s="300"/>
      <c r="I32" s="301"/>
      <c r="J32" s="429"/>
      <c r="K32" s="428"/>
      <c r="L32" s="430"/>
      <c r="M32" s="309"/>
      <c r="N32" s="430"/>
      <c r="O32" s="309"/>
      <c r="P32" s="430"/>
      <c r="Q32" s="309"/>
      <c r="R32" s="430"/>
      <c r="S32" s="309"/>
      <c r="T32" s="430"/>
      <c r="U32" s="309"/>
      <c r="V32" s="430"/>
      <c r="W32" s="309"/>
      <c r="X32" s="430"/>
      <c r="Y32" s="309"/>
      <c r="Z32" s="430"/>
      <c r="AA32" s="309"/>
      <c r="AB32" s="430"/>
      <c r="AC32" s="309"/>
      <c r="AD32" s="430"/>
      <c r="AE32" s="309"/>
    </row>
    <row r="33" spans="1:31">
      <c r="A33" s="528" t="s">
        <v>360</v>
      </c>
      <c r="B33" s="494"/>
      <c r="C33" s="301">
        <v>63.86</v>
      </c>
      <c r="D33" s="300"/>
      <c r="E33" s="470">
        <v>40.409999999999997</v>
      </c>
      <c r="F33" s="300"/>
      <c r="G33" s="301"/>
      <c r="H33" s="300"/>
      <c r="I33" s="301"/>
      <c r="J33" s="429"/>
      <c r="K33" s="428"/>
      <c r="L33" s="430"/>
      <c r="M33" s="309"/>
      <c r="N33" s="430"/>
      <c r="O33" s="309"/>
      <c r="P33" s="430"/>
      <c r="Q33" s="309"/>
      <c r="R33" s="430"/>
      <c r="S33" s="309"/>
      <c r="T33" s="430"/>
      <c r="U33" s="309"/>
      <c r="V33" s="430"/>
      <c r="W33" s="309"/>
      <c r="X33" s="430"/>
      <c r="Y33" s="309"/>
      <c r="Z33" s="430"/>
      <c r="AA33" s="309"/>
      <c r="AB33" s="430"/>
      <c r="AC33" s="309"/>
      <c r="AD33" s="430"/>
      <c r="AE33" s="309"/>
    </row>
    <row r="34" spans="1:31">
      <c r="A34" s="527" t="s">
        <v>54</v>
      </c>
      <c r="B34" s="494"/>
      <c r="C34" s="301">
        <v>66.06</v>
      </c>
      <c r="D34" s="300"/>
      <c r="E34" s="470">
        <v>42.54</v>
      </c>
      <c r="F34" s="300"/>
      <c r="G34" s="301"/>
      <c r="H34" s="300"/>
      <c r="I34" s="301"/>
      <c r="J34" s="429"/>
      <c r="K34" s="428"/>
      <c r="L34" s="430"/>
      <c r="M34" s="309"/>
      <c r="N34" s="430"/>
      <c r="O34" s="309"/>
      <c r="P34" s="430"/>
      <c r="Q34" s="309"/>
      <c r="R34" s="430"/>
      <c r="S34" s="309"/>
      <c r="T34" s="430"/>
      <c r="U34" s="309"/>
      <c r="V34" s="430"/>
      <c r="W34" s="309"/>
      <c r="X34" s="430"/>
      <c r="Y34" s="309"/>
      <c r="Z34" s="430"/>
      <c r="AA34" s="309"/>
      <c r="AB34" s="430"/>
      <c r="AC34" s="309"/>
      <c r="AD34" s="430"/>
      <c r="AE34" s="309"/>
    </row>
    <row r="35" spans="1:31">
      <c r="A35" s="529" t="s">
        <v>11</v>
      </c>
      <c r="B35" s="495"/>
      <c r="C35" s="301">
        <v>66.06</v>
      </c>
      <c r="D35" s="300"/>
      <c r="E35" s="470">
        <v>42.54</v>
      </c>
      <c r="F35" s="300"/>
      <c r="G35" s="301"/>
      <c r="H35" s="300"/>
      <c r="I35" s="301"/>
      <c r="J35" s="429"/>
      <c r="K35" s="428"/>
      <c r="L35" s="431"/>
      <c r="M35" s="309"/>
      <c r="N35" s="431"/>
      <c r="O35" s="309"/>
      <c r="P35" s="431"/>
      <c r="Q35" s="309"/>
      <c r="R35" s="431"/>
      <c r="S35" s="309"/>
      <c r="T35" s="431"/>
      <c r="U35" s="309"/>
      <c r="V35" s="431"/>
      <c r="W35" s="309"/>
      <c r="X35" s="431"/>
      <c r="Y35" s="309"/>
      <c r="Z35" s="431"/>
      <c r="AA35" s="309"/>
      <c r="AB35" s="431"/>
      <c r="AC35" s="309"/>
      <c r="AD35" s="431"/>
      <c r="AE35" s="309"/>
    </row>
    <row r="36" spans="1:31" ht="13.5" thickBot="1">
      <c r="A36" s="566" t="s">
        <v>55</v>
      </c>
      <c r="B36" s="495"/>
      <c r="C36" s="301">
        <v>66.06</v>
      </c>
      <c r="D36" s="300"/>
      <c r="E36" s="470">
        <v>42.54</v>
      </c>
      <c r="F36" s="300"/>
      <c r="G36" s="301"/>
      <c r="H36" s="300"/>
      <c r="I36" s="301"/>
      <c r="J36" s="429"/>
      <c r="K36" s="428"/>
      <c r="L36" s="431"/>
      <c r="M36" s="309"/>
      <c r="N36" s="431"/>
      <c r="O36" s="309"/>
      <c r="P36" s="431"/>
      <c r="Q36" s="309"/>
      <c r="R36" s="431"/>
      <c r="S36" s="309"/>
      <c r="T36" s="431"/>
      <c r="U36" s="309"/>
      <c r="V36" s="431"/>
      <c r="W36" s="309"/>
      <c r="X36" s="431"/>
      <c r="Y36" s="309"/>
      <c r="Z36" s="431"/>
      <c r="AA36" s="309"/>
      <c r="AB36" s="431"/>
      <c r="AC36" s="309"/>
      <c r="AD36" s="431"/>
      <c r="AE36" s="309"/>
    </row>
    <row r="37" spans="1:31" ht="16.5" thickBot="1">
      <c r="A37" s="410" t="s">
        <v>56</v>
      </c>
      <c r="B37" s="496"/>
      <c r="C37" s="213"/>
      <c r="D37" s="212"/>
      <c r="E37" s="213"/>
      <c r="F37" s="212"/>
      <c r="G37" s="213"/>
      <c r="H37" s="212"/>
      <c r="I37" s="213"/>
      <c r="J37" s="212"/>
      <c r="K37" s="213"/>
      <c r="L37" s="212"/>
      <c r="M37" s="213"/>
      <c r="N37" s="212"/>
      <c r="O37" s="213"/>
      <c r="P37" s="212"/>
      <c r="Q37" s="213"/>
      <c r="R37" s="212"/>
      <c r="S37" s="213"/>
      <c r="T37" s="212"/>
      <c r="U37" s="213"/>
      <c r="V37" s="212"/>
      <c r="W37" s="213"/>
      <c r="X37" s="212"/>
      <c r="Y37" s="213"/>
      <c r="Z37" s="212"/>
      <c r="AA37" s="213"/>
      <c r="AB37" s="212"/>
      <c r="AC37" s="213"/>
      <c r="AD37" s="212"/>
      <c r="AE37" s="213"/>
    </row>
    <row r="38" spans="1:31">
      <c r="A38" s="530" t="s">
        <v>57</v>
      </c>
      <c r="B38" s="497"/>
      <c r="C38" s="394">
        <v>63.86</v>
      </c>
      <c r="D38" s="300"/>
      <c r="E38" s="470">
        <v>40.409999999999997</v>
      </c>
      <c r="F38" s="300"/>
      <c r="G38" s="301"/>
      <c r="H38" s="300"/>
      <c r="I38" s="301"/>
      <c r="J38" s="432"/>
      <c r="K38" s="428"/>
      <c r="L38" s="432"/>
      <c r="M38" s="428"/>
      <c r="N38" s="432"/>
      <c r="O38" s="428"/>
      <c r="P38" s="432"/>
      <c r="Q38" s="428"/>
      <c r="R38" s="432"/>
      <c r="S38" s="428"/>
      <c r="T38" s="432"/>
      <c r="U38" s="428"/>
      <c r="V38" s="432"/>
      <c r="W38" s="428"/>
      <c r="X38" s="432"/>
      <c r="Y38" s="428"/>
      <c r="Z38" s="432"/>
      <c r="AA38" s="428"/>
      <c r="AB38" s="432"/>
      <c r="AC38" s="428"/>
      <c r="AD38" s="432"/>
      <c r="AE38" s="428"/>
    </row>
    <row r="39" spans="1:31" ht="13.5" thickBot="1">
      <c r="A39" s="531" t="s">
        <v>58</v>
      </c>
      <c r="B39" s="494"/>
      <c r="C39" s="394">
        <v>63.86</v>
      </c>
      <c r="D39" s="300"/>
      <c r="E39" s="470">
        <v>40.409999999999997</v>
      </c>
      <c r="F39" s="300"/>
      <c r="G39" s="301"/>
      <c r="H39" s="300"/>
      <c r="I39" s="301"/>
      <c r="J39" s="432"/>
      <c r="K39" s="428"/>
      <c r="L39" s="430"/>
      <c r="M39" s="309"/>
      <c r="N39" s="430"/>
      <c r="O39" s="309"/>
      <c r="P39" s="430"/>
      <c r="Q39" s="309"/>
      <c r="R39" s="430"/>
      <c r="S39" s="309"/>
      <c r="T39" s="430"/>
      <c r="U39" s="309"/>
      <c r="V39" s="430"/>
      <c r="W39" s="309"/>
      <c r="X39" s="430"/>
      <c r="Y39" s="309"/>
      <c r="Z39" s="430"/>
      <c r="AA39" s="309"/>
      <c r="AB39" s="430"/>
      <c r="AC39" s="309"/>
      <c r="AD39" s="430"/>
      <c r="AE39" s="309"/>
    </row>
    <row r="40" spans="1:31" ht="16.5" customHeight="1" thickBot="1">
      <c r="A40" s="410" t="s">
        <v>59</v>
      </c>
      <c r="B40" s="496"/>
      <c r="C40" s="213"/>
      <c r="D40" s="212"/>
      <c r="E40" s="213"/>
      <c r="F40" s="212"/>
      <c r="G40" s="213"/>
      <c r="H40" s="212"/>
      <c r="I40" s="213"/>
      <c r="J40" s="212"/>
      <c r="K40" s="213"/>
      <c r="L40" s="212"/>
      <c r="M40" s="213"/>
      <c r="N40" s="212"/>
      <c r="O40" s="213"/>
      <c r="P40" s="212"/>
      <c r="Q40" s="213"/>
      <c r="R40" s="212"/>
      <c r="S40" s="213"/>
      <c r="T40" s="212"/>
      <c r="U40" s="213"/>
      <c r="V40" s="212"/>
      <c r="W40" s="213"/>
      <c r="X40" s="212"/>
      <c r="Y40" s="213"/>
      <c r="Z40" s="212"/>
      <c r="AA40" s="213"/>
      <c r="AB40" s="212"/>
      <c r="AC40" s="213"/>
      <c r="AD40" s="212"/>
      <c r="AE40" s="213"/>
    </row>
    <row r="41" spans="1:31">
      <c r="A41" s="532" t="s">
        <v>1</v>
      </c>
      <c r="B41" s="493"/>
      <c r="C41" s="394">
        <v>63.86</v>
      </c>
      <c r="D41" s="300"/>
      <c r="E41" s="470">
        <v>40.409999999999997</v>
      </c>
      <c r="F41" s="300"/>
      <c r="G41" s="301"/>
      <c r="H41" s="300"/>
      <c r="I41" s="301"/>
      <c r="J41" s="429"/>
      <c r="K41" s="428"/>
      <c r="L41" s="429"/>
      <c r="M41" s="428"/>
      <c r="N41" s="429"/>
      <c r="O41" s="428"/>
      <c r="P41" s="429"/>
      <c r="Q41" s="428"/>
      <c r="R41" s="429"/>
      <c r="S41" s="428"/>
      <c r="T41" s="429"/>
      <c r="U41" s="428"/>
      <c r="V41" s="429"/>
      <c r="W41" s="428"/>
      <c r="X41" s="429"/>
      <c r="Y41" s="428"/>
      <c r="Z41" s="429"/>
      <c r="AA41" s="428"/>
      <c r="AB41" s="429"/>
      <c r="AC41" s="428"/>
      <c r="AD41" s="429"/>
      <c r="AE41" s="428"/>
    </row>
    <row r="42" spans="1:31">
      <c r="A42" s="533" t="s">
        <v>60</v>
      </c>
      <c r="B42" s="493"/>
      <c r="C42" s="394">
        <v>63.86</v>
      </c>
      <c r="D42" s="300"/>
      <c r="E42" s="470">
        <v>40.409999999999997</v>
      </c>
      <c r="F42" s="300"/>
      <c r="G42" s="301"/>
      <c r="H42" s="300"/>
      <c r="I42" s="301"/>
      <c r="J42" s="429"/>
      <c r="K42" s="428"/>
      <c r="L42" s="429"/>
      <c r="M42" s="428"/>
      <c r="N42" s="429"/>
      <c r="O42" s="428"/>
      <c r="P42" s="429"/>
      <c r="Q42" s="428"/>
      <c r="R42" s="429"/>
      <c r="S42" s="428"/>
      <c r="T42" s="429"/>
      <c r="U42" s="428"/>
      <c r="V42" s="429"/>
      <c r="W42" s="428"/>
      <c r="X42" s="429"/>
      <c r="Y42" s="428"/>
      <c r="Z42" s="429"/>
      <c r="AA42" s="428"/>
      <c r="AB42" s="429"/>
      <c r="AC42" s="428"/>
      <c r="AD42" s="429"/>
      <c r="AE42" s="428"/>
    </row>
    <row r="43" spans="1:31">
      <c r="A43" s="532" t="s">
        <v>3</v>
      </c>
      <c r="B43" s="497"/>
      <c r="C43" s="394">
        <v>63.86</v>
      </c>
      <c r="D43" s="300"/>
      <c r="E43" s="470">
        <v>40.409999999999997</v>
      </c>
      <c r="F43" s="300"/>
      <c r="G43" s="301"/>
      <c r="H43" s="300"/>
      <c r="I43" s="301"/>
      <c r="J43" s="429"/>
      <c r="K43" s="428"/>
      <c r="L43" s="432"/>
      <c r="M43" s="428"/>
      <c r="N43" s="432"/>
      <c r="O43" s="428"/>
      <c r="P43" s="432"/>
      <c r="Q43" s="428"/>
      <c r="R43" s="432"/>
      <c r="S43" s="428"/>
      <c r="T43" s="432"/>
      <c r="U43" s="428"/>
      <c r="V43" s="432"/>
      <c r="W43" s="428"/>
      <c r="X43" s="432"/>
      <c r="Y43" s="428"/>
      <c r="Z43" s="432"/>
      <c r="AA43" s="428"/>
      <c r="AB43" s="432"/>
      <c r="AC43" s="428"/>
      <c r="AD43" s="432"/>
      <c r="AE43" s="428"/>
    </row>
    <row r="44" spans="1:31">
      <c r="A44" s="534" t="s">
        <v>61</v>
      </c>
      <c r="B44" s="495"/>
      <c r="C44" s="394">
        <v>63.86</v>
      </c>
      <c r="D44" s="300"/>
      <c r="E44" s="470">
        <v>40.409999999999997</v>
      </c>
      <c r="F44" s="300"/>
      <c r="G44" s="301"/>
      <c r="H44" s="300"/>
      <c r="I44" s="301"/>
      <c r="J44" s="429"/>
      <c r="K44" s="428"/>
      <c r="L44" s="431"/>
      <c r="M44" s="309"/>
      <c r="N44" s="431"/>
      <c r="O44" s="309"/>
      <c r="P44" s="431"/>
      <c r="Q44" s="309"/>
      <c r="R44" s="431"/>
      <c r="S44" s="309"/>
      <c r="T44" s="431"/>
      <c r="U44" s="309"/>
      <c r="V44" s="431"/>
      <c r="W44" s="309"/>
      <c r="X44" s="431"/>
      <c r="Y44" s="309"/>
      <c r="Z44" s="431"/>
      <c r="AA44" s="309"/>
      <c r="AB44" s="431"/>
      <c r="AC44" s="309"/>
      <c r="AD44" s="431"/>
      <c r="AE44" s="309"/>
    </row>
    <row r="45" spans="1:31">
      <c r="A45" s="534" t="s">
        <v>62</v>
      </c>
      <c r="B45" s="495"/>
      <c r="C45" s="394">
        <v>63.86</v>
      </c>
      <c r="D45" s="300"/>
      <c r="E45" s="470">
        <v>40.409999999999997</v>
      </c>
      <c r="F45" s="300"/>
      <c r="G45" s="301"/>
      <c r="H45" s="300"/>
      <c r="I45" s="301"/>
      <c r="J45" s="429"/>
      <c r="K45" s="428"/>
      <c r="L45" s="431"/>
      <c r="M45" s="309"/>
      <c r="N45" s="431"/>
      <c r="O45" s="309"/>
      <c r="P45" s="431"/>
      <c r="Q45" s="309"/>
      <c r="R45" s="431"/>
      <c r="S45" s="309"/>
      <c r="T45" s="431"/>
      <c r="U45" s="309"/>
      <c r="V45" s="431"/>
      <c r="W45" s="309"/>
      <c r="X45" s="431"/>
      <c r="Y45" s="309"/>
      <c r="Z45" s="431"/>
      <c r="AA45" s="309"/>
      <c r="AB45" s="431"/>
      <c r="AC45" s="309"/>
      <c r="AD45" s="431"/>
      <c r="AE45" s="309"/>
    </row>
    <row r="46" spans="1:31">
      <c r="A46" s="532" t="s">
        <v>2</v>
      </c>
      <c r="B46" s="495"/>
      <c r="C46" s="394">
        <v>63.86</v>
      </c>
      <c r="D46" s="300"/>
      <c r="E46" s="470">
        <v>40.409999999999997</v>
      </c>
      <c r="F46" s="300"/>
      <c r="G46" s="301"/>
      <c r="H46" s="300"/>
      <c r="I46" s="301"/>
      <c r="J46" s="429"/>
      <c r="K46" s="428"/>
      <c r="L46" s="431"/>
      <c r="M46" s="309"/>
      <c r="N46" s="431"/>
      <c r="O46" s="309"/>
      <c r="P46" s="431"/>
      <c r="Q46" s="309"/>
      <c r="R46" s="431"/>
      <c r="S46" s="309"/>
      <c r="T46" s="431"/>
      <c r="U46" s="309"/>
      <c r="V46" s="431"/>
      <c r="W46" s="309"/>
      <c r="X46" s="431"/>
      <c r="Y46" s="309"/>
      <c r="Z46" s="431"/>
      <c r="AA46" s="309"/>
      <c r="AB46" s="431"/>
      <c r="AC46" s="309"/>
      <c r="AD46" s="431"/>
      <c r="AE46" s="309"/>
    </row>
    <row r="47" spans="1:31">
      <c r="A47" s="532" t="s">
        <v>63</v>
      </c>
      <c r="B47" s="494"/>
      <c r="C47" s="394">
        <v>63.86</v>
      </c>
      <c r="D47" s="300"/>
      <c r="E47" s="470">
        <v>40.409999999999997</v>
      </c>
      <c r="F47" s="300"/>
      <c r="G47" s="301"/>
      <c r="H47" s="300"/>
      <c r="I47" s="301"/>
      <c r="J47" s="429"/>
      <c r="K47" s="428"/>
      <c r="L47" s="430"/>
      <c r="M47" s="309"/>
      <c r="N47" s="430"/>
      <c r="O47" s="309"/>
      <c r="P47" s="430"/>
      <c r="Q47" s="309"/>
      <c r="R47" s="430"/>
      <c r="S47" s="309"/>
      <c r="T47" s="430"/>
      <c r="U47" s="309"/>
      <c r="V47" s="430"/>
      <c r="W47" s="309"/>
      <c r="X47" s="430"/>
      <c r="Y47" s="309"/>
      <c r="Z47" s="430"/>
      <c r="AA47" s="309"/>
      <c r="AB47" s="430"/>
      <c r="AC47" s="309"/>
      <c r="AD47" s="430"/>
      <c r="AE47" s="309"/>
    </row>
    <row r="48" spans="1:31">
      <c r="A48" s="587">
        <v>990</v>
      </c>
      <c r="B48" s="494"/>
      <c r="C48" s="394">
        <v>63.86</v>
      </c>
      <c r="D48" s="300"/>
      <c r="E48" s="470">
        <v>40.409999999999997</v>
      </c>
      <c r="F48" s="300"/>
      <c r="G48" s="301"/>
      <c r="H48" s="300"/>
      <c r="I48" s="301"/>
      <c r="J48" s="429"/>
      <c r="K48" s="428"/>
      <c r="L48" s="430"/>
      <c r="M48" s="309"/>
      <c r="N48" s="430"/>
      <c r="O48" s="309"/>
      <c r="P48" s="430"/>
      <c r="Q48" s="309"/>
      <c r="R48" s="430"/>
      <c r="S48" s="309"/>
      <c r="T48" s="430"/>
      <c r="U48" s="309"/>
      <c r="V48" s="430"/>
      <c r="W48" s="309"/>
      <c r="X48" s="430"/>
      <c r="Y48" s="309"/>
      <c r="Z48" s="430"/>
      <c r="AA48" s="309"/>
      <c r="AB48" s="430"/>
      <c r="AC48" s="309"/>
      <c r="AD48" s="430"/>
      <c r="AE48" s="309"/>
    </row>
    <row r="49" spans="1:39">
      <c r="A49" s="529" t="s">
        <v>64</v>
      </c>
      <c r="B49" s="494"/>
      <c r="C49" s="394">
        <v>66.06</v>
      </c>
      <c r="D49" s="300"/>
      <c r="E49" s="470">
        <v>42.54</v>
      </c>
      <c r="F49" s="300"/>
      <c r="G49" s="301"/>
      <c r="H49" s="300"/>
      <c r="I49" s="301"/>
      <c r="J49" s="429"/>
      <c r="K49" s="428"/>
      <c r="L49" s="430"/>
      <c r="M49" s="309"/>
      <c r="N49" s="430"/>
      <c r="O49" s="309"/>
      <c r="P49" s="430"/>
      <c r="Q49" s="309"/>
      <c r="R49" s="430"/>
      <c r="S49" s="309"/>
      <c r="T49" s="430"/>
      <c r="U49" s="309"/>
      <c r="V49" s="430"/>
      <c r="W49" s="309"/>
      <c r="X49" s="430"/>
      <c r="Y49" s="309"/>
      <c r="Z49" s="430"/>
      <c r="AA49" s="309"/>
      <c r="AB49" s="430"/>
      <c r="AC49" s="309"/>
      <c r="AD49" s="430"/>
      <c r="AE49" s="309"/>
    </row>
    <row r="50" spans="1:39">
      <c r="A50" s="529" t="s">
        <v>14</v>
      </c>
      <c r="B50" s="574"/>
      <c r="C50" s="394">
        <v>66.06</v>
      </c>
      <c r="D50" s="300"/>
      <c r="E50" s="470">
        <v>42.54</v>
      </c>
      <c r="F50" s="300"/>
      <c r="G50" s="301"/>
      <c r="H50" s="300"/>
      <c r="I50" s="301"/>
      <c r="J50" s="429"/>
      <c r="K50" s="428"/>
      <c r="L50" s="430"/>
      <c r="M50" s="309"/>
      <c r="N50" s="430"/>
      <c r="O50" s="309"/>
      <c r="P50" s="430"/>
      <c r="Q50" s="309"/>
      <c r="R50" s="430"/>
      <c r="S50" s="309"/>
      <c r="T50" s="430"/>
      <c r="U50" s="309"/>
      <c r="V50" s="430"/>
      <c r="W50" s="309"/>
      <c r="X50" s="430"/>
      <c r="Y50" s="309"/>
      <c r="Z50" s="430"/>
      <c r="AA50" s="309"/>
      <c r="AB50" s="430"/>
      <c r="AC50" s="309"/>
      <c r="AD50" s="430"/>
      <c r="AE50" s="309"/>
    </row>
    <row r="51" spans="1:39" ht="13.5" thickBot="1">
      <c r="A51" s="525" t="s">
        <v>380</v>
      </c>
      <c r="B51" s="498"/>
      <c r="C51" s="394">
        <v>66.06</v>
      </c>
      <c r="D51" s="300"/>
      <c r="E51" s="470">
        <v>42.54</v>
      </c>
      <c r="F51" s="300"/>
      <c r="G51" s="301"/>
      <c r="H51" s="300"/>
      <c r="I51" s="301"/>
      <c r="J51" s="429"/>
      <c r="K51" s="428"/>
      <c r="L51" s="433"/>
      <c r="M51" s="434"/>
      <c r="N51" s="433"/>
      <c r="O51" s="434"/>
      <c r="P51" s="433"/>
      <c r="Q51" s="434"/>
      <c r="R51" s="433"/>
      <c r="S51" s="434"/>
      <c r="T51" s="433"/>
      <c r="U51" s="434"/>
      <c r="V51" s="433"/>
      <c r="W51" s="434"/>
      <c r="X51" s="433"/>
      <c r="Y51" s="434"/>
      <c r="Z51" s="433"/>
      <c r="AA51" s="434"/>
      <c r="AB51" s="433"/>
      <c r="AC51" s="434"/>
      <c r="AD51" s="433"/>
      <c r="AE51" s="434"/>
    </row>
    <row r="52" spans="1:39" ht="16.5" customHeight="1" thickBot="1">
      <c r="A52" s="410" t="s">
        <v>398</v>
      </c>
      <c r="B52" s="496"/>
      <c r="C52" s="213"/>
      <c r="D52" s="212"/>
      <c r="E52" s="213"/>
      <c r="F52" s="212"/>
      <c r="G52" s="213"/>
      <c r="H52" s="212"/>
      <c r="I52" s="213"/>
      <c r="J52" s="212"/>
      <c r="K52" s="213"/>
      <c r="L52" s="212"/>
      <c r="M52" s="213"/>
      <c r="N52" s="212"/>
      <c r="O52" s="213"/>
      <c r="P52" s="212"/>
      <c r="Q52" s="213"/>
      <c r="R52" s="212"/>
      <c r="S52" s="213"/>
      <c r="T52" s="212"/>
      <c r="U52" s="213"/>
      <c r="V52" s="212"/>
      <c r="W52" s="213"/>
      <c r="X52" s="212"/>
      <c r="Y52" s="213"/>
      <c r="Z52" s="212"/>
      <c r="AA52" s="213"/>
      <c r="AB52" s="212"/>
      <c r="AC52" s="213"/>
      <c r="AD52" s="212"/>
      <c r="AE52" s="213"/>
    </row>
    <row r="53" spans="1:39">
      <c r="A53" s="532" t="s">
        <v>399</v>
      </c>
      <c r="B53" s="493"/>
      <c r="C53" s="394">
        <v>66.06</v>
      </c>
      <c r="D53" s="300"/>
      <c r="E53" s="470">
        <v>52.35</v>
      </c>
      <c r="F53" s="300"/>
      <c r="G53" s="301"/>
      <c r="H53" s="300"/>
      <c r="I53" s="301"/>
      <c r="J53" s="429"/>
      <c r="K53" s="428"/>
      <c r="L53" s="429"/>
      <c r="M53" s="428"/>
      <c r="N53" s="429"/>
      <c r="O53" s="428"/>
      <c r="P53" s="429"/>
      <c r="Q53" s="428"/>
      <c r="R53" s="429"/>
      <c r="S53" s="428"/>
      <c r="T53" s="429"/>
      <c r="U53" s="428"/>
      <c r="V53" s="429"/>
      <c r="W53" s="428"/>
      <c r="X53" s="429"/>
      <c r="Y53" s="428"/>
      <c r="Z53" s="429"/>
      <c r="AA53" s="428"/>
      <c r="AB53" s="429"/>
      <c r="AC53" s="428"/>
      <c r="AD53" s="429"/>
      <c r="AE53" s="428"/>
    </row>
    <row r="54" spans="1:39">
      <c r="A54" s="533" t="s">
        <v>400</v>
      </c>
      <c r="B54" s="493"/>
      <c r="C54" s="394">
        <v>68.33</v>
      </c>
      <c r="D54" s="300"/>
      <c r="E54" s="470">
        <v>59.45</v>
      </c>
      <c r="F54" s="300"/>
      <c r="G54" s="301"/>
      <c r="H54" s="300"/>
      <c r="I54" s="301"/>
      <c r="J54" s="429"/>
      <c r="K54" s="428"/>
      <c r="L54" s="429"/>
      <c r="M54" s="428"/>
      <c r="N54" s="429"/>
      <c r="O54" s="428"/>
      <c r="P54" s="429"/>
      <c r="Q54" s="428"/>
      <c r="R54" s="429"/>
      <c r="S54" s="428"/>
      <c r="T54" s="429"/>
      <c r="U54" s="428"/>
      <c r="V54" s="429"/>
      <c r="W54" s="428"/>
      <c r="X54" s="429"/>
      <c r="Y54" s="428"/>
      <c r="Z54" s="429"/>
      <c r="AA54" s="428"/>
      <c r="AB54" s="429"/>
      <c r="AC54" s="428"/>
      <c r="AD54" s="429"/>
      <c r="AE54" s="428"/>
    </row>
    <row r="55" spans="1:39">
      <c r="A55" s="532" t="s">
        <v>401</v>
      </c>
      <c r="B55" s="497"/>
      <c r="C55" s="394">
        <v>68.33</v>
      </c>
      <c r="D55" s="300"/>
      <c r="E55" s="470">
        <v>59.45</v>
      </c>
      <c r="F55" s="300"/>
      <c r="G55" s="301"/>
      <c r="H55" s="300"/>
      <c r="I55" s="301"/>
      <c r="J55" s="429"/>
      <c r="K55" s="428"/>
      <c r="L55" s="432"/>
      <c r="M55" s="428"/>
      <c r="N55" s="432"/>
      <c r="O55" s="428"/>
      <c r="P55" s="432"/>
      <c r="Q55" s="428"/>
      <c r="R55" s="432"/>
      <c r="S55" s="428"/>
      <c r="T55" s="432"/>
      <c r="U55" s="428"/>
      <c r="V55" s="432"/>
      <c r="W55" s="428"/>
      <c r="X55" s="432"/>
      <c r="Y55" s="428"/>
      <c r="Z55" s="432"/>
      <c r="AA55" s="428"/>
      <c r="AB55" s="432"/>
      <c r="AC55" s="428"/>
      <c r="AD55" s="432"/>
      <c r="AE55" s="428"/>
    </row>
    <row r="56" spans="1:39">
      <c r="A56" s="534" t="s">
        <v>402</v>
      </c>
      <c r="B56" s="495"/>
      <c r="C56" s="394">
        <v>68.33</v>
      </c>
      <c r="D56" s="300"/>
      <c r="E56" s="470">
        <v>59.45</v>
      </c>
      <c r="F56" s="300"/>
      <c r="G56" s="301"/>
      <c r="H56" s="300"/>
      <c r="I56" s="301"/>
      <c r="J56" s="429"/>
      <c r="K56" s="428"/>
      <c r="L56" s="431"/>
      <c r="M56" s="309"/>
      <c r="N56" s="431"/>
      <c r="O56" s="309"/>
      <c r="P56" s="431"/>
      <c r="Q56" s="309"/>
      <c r="R56" s="431"/>
      <c r="S56" s="309"/>
      <c r="T56" s="431"/>
      <c r="U56" s="309"/>
      <c r="V56" s="431"/>
      <c r="W56" s="309"/>
      <c r="X56" s="431"/>
      <c r="Y56" s="309"/>
      <c r="Z56" s="431"/>
      <c r="AA56" s="309"/>
      <c r="AB56" s="431"/>
      <c r="AC56" s="309"/>
      <c r="AD56" s="431"/>
      <c r="AE56" s="309"/>
    </row>
    <row r="57" spans="1:39" ht="13.5" thickBot="1">
      <c r="A57" s="534" t="s">
        <v>403</v>
      </c>
      <c r="B57" s="495"/>
      <c r="C57" s="394">
        <v>68.33</v>
      </c>
      <c r="D57" s="300"/>
      <c r="E57" s="470">
        <v>59.45</v>
      </c>
      <c r="F57" s="300"/>
      <c r="G57" s="301"/>
      <c r="H57" s="300"/>
      <c r="I57" s="301"/>
      <c r="J57" s="429"/>
      <c r="K57" s="428"/>
      <c r="L57" s="431"/>
      <c r="M57" s="309"/>
      <c r="N57" s="431"/>
      <c r="O57" s="309"/>
      <c r="P57" s="431"/>
      <c r="Q57" s="309"/>
      <c r="R57" s="431"/>
      <c r="S57" s="309"/>
      <c r="T57" s="431"/>
      <c r="U57" s="309"/>
      <c r="V57" s="431"/>
      <c r="W57" s="309"/>
      <c r="X57" s="431"/>
      <c r="Y57" s="309"/>
      <c r="Z57" s="431"/>
      <c r="AA57" s="309"/>
      <c r="AB57" s="431"/>
      <c r="AC57" s="309"/>
      <c r="AD57" s="431"/>
      <c r="AE57" s="309"/>
    </row>
    <row r="58" spans="1:39" ht="16.5" thickBot="1">
      <c r="A58" s="410" t="s">
        <v>137</v>
      </c>
      <c r="B58" s="496"/>
      <c r="C58" s="213"/>
      <c r="D58" s="212"/>
      <c r="E58" s="213"/>
      <c r="F58" s="212"/>
      <c r="G58" s="213"/>
      <c r="H58" s="212"/>
      <c r="I58" s="213"/>
      <c r="J58" s="212"/>
      <c r="K58" s="213"/>
      <c r="L58" s="212"/>
      <c r="M58" s="213"/>
      <c r="N58" s="212"/>
      <c r="O58" s="213"/>
      <c r="P58" s="212"/>
      <c r="Q58" s="213"/>
      <c r="R58" s="212"/>
      <c r="S58" s="213"/>
      <c r="T58" s="212"/>
      <c r="U58" s="213"/>
      <c r="V58" s="212"/>
      <c r="W58" s="213"/>
      <c r="X58" s="212"/>
      <c r="Y58" s="213"/>
      <c r="Z58" s="212"/>
      <c r="AA58" s="213"/>
      <c r="AB58" s="212"/>
      <c r="AC58" s="213"/>
      <c r="AD58" s="212"/>
      <c r="AE58" s="213"/>
    </row>
    <row r="59" spans="1:39">
      <c r="A59" s="531" t="s">
        <v>138</v>
      </c>
      <c r="B59" s="499"/>
      <c r="C59" s="398"/>
      <c r="D59" s="147"/>
      <c r="E59" s="398"/>
      <c r="F59" s="147"/>
      <c r="G59" s="398"/>
      <c r="H59" s="147"/>
      <c r="I59" s="398"/>
      <c r="J59" s="147"/>
      <c r="K59" s="398"/>
      <c r="L59" s="147"/>
      <c r="M59" s="398"/>
      <c r="N59" s="147"/>
      <c r="O59" s="398"/>
      <c r="P59" s="147"/>
      <c r="Q59" s="398"/>
      <c r="R59" s="147"/>
      <c r="S59" s="398"/>
      <c r="T59" s="147"/>
      <c r="U59" s="398"/>
      <c r="V59" s="147"/>
      <c r="W59" s="398"/>
      <c r="X59" s="147"/>
      <c r="Y59" s="398"/>
      <c r="Z59" s="147"/>
      <c r="AA59" s="398"/>
      <c r="AB59" s="147"/>
      <c r="AC59" s="398"/>
      <c r="AD59" s="147"/>
      <c r="AE59" s="398"/>
    </row>
    <row r="60" spans="1:39">
      <c r="A60" s="534" t="s">
        <v>135</v>
      </c>
      <c r="B60" s="500"/>
      <c r="C60" s="116"/>
      <c r="D60" s="146"/>
      <c r="E60" s="116"/>
      <c r="F60" s="146"/>
      <c r="G60" s="116"/>
      <c r="H60" s="146"/>
      <c r="I60" s="116"/>
      <c r="J60" s="146"/>
      <c r="K60" s="116"/>
      <c r="L60" s="146"/>
      <c r="M60" s="116"/>
      <c r="N60" s="146"/>
      <c r="O60" s="116"/>
      <c r="P60" s="146"/>
      <c r="Q60" s="116"/>
      <c r="R60" s="146"/>
      <c r="S60" s="116"/>
      <c r="T60" s="146"/>
      <c r="U60" s="116"/>
      <c r="V60" s="146"/>
      <c r="W60" s="116"/>
      <c r="X60" s="146"/>
      <c r="Y60" s="116"/>
      <c r="Z60" s="146"/>
      <c r="AA60" s="116"/>
      <c r="AB60" s="146"/>
      <c r="AC60" s="116"/>
      <c r="AD60" s="146"/>
      <c r="AE60" s="116"/>
    </row>
    <row r="61" spans="1:39" ht="13.5" thickBot="1">
      <c r="A61" s="534" t="s">
        <v>136</v>
      </c>
      <c r="B61" s="500"/>
      <c r="C61" s="116"/>
      <c r="D61" s="146"/>
      <c r="E61" s="116"/>
      <c r="F61" s="146"/>
      <c r="G61" s="116"/>
      <c r="H61" s="146"/>
      <c r="I61" s="116"/>
      <c r="J61" s="146"/>
      <c r="K61" s="116"/>
      <c r="L61" s="146"/>
      <c r="M61" s="116"/>
      <c r="N61" s="146"/>
      <c r="O61" s="116"/>
      <c r="P61" s="146"/>
      <c r="Q61" s="116"/>
      <c r="R61" s="146"/>
      <c r="S61" s="116"/>
      <c r="T61" s="146"/>
      <c r="U61" s="116"/>
      <c r="V61" s="146"/>
      <c r="W61" s="116"/>
      <c r="X61" s="146"/>
      <c r="Y61" s="116"/>
      <c r="Z61" s="146"/>
      <c r="AA61" s="116"/>
      <c r="AB61" s="146"/>
      <c r="AC61" s="116"/>
      <c r="AD61" s="146"/>
      <c r="AE61" s="116"/>
    </row>
    <row r="62" spans="1:39" ht="16.5" thickBot="1">
      <c r="A62" s="410" t="s">
        <v>337</v>
      </c>
      <c r="B62" s="496"/>
      <c r="C62" s="213"/>
      <c r="D62" s="212"/>
      <c r="E62" s="213"/>
      <c r="F62" s="212"/>
      <c r="G62" s="213"/>
      <c r="H62" s="212"/>
      <c r="I62" s="213"/>
      <c r="J62" s="212"/>
      <c r="K62" s="213"/>
      <c r="L62" s="212"/>
      <c r="M62" s="213"/>
      <c r="N62" s="212"/>
      <c r="O62" s="213"/>
      <c r="P62" s="212"/>
      <c r="Q62" s="213"/>
      <c r="R62" s="212"/>
      <c r="S62" s="213"/>
      <c r="T62" s="212"/>
      <c r="U62" s="213"/>
      <c r="V62" s="212"/>
      <c r="W62" s="213"/>
      <c r="X62" s="212"/>
      <c r="Y62" s="213"/>
      <c r="Z62" s="212"/>
      <c r="AA62" s="213"/>
      <c r="AB62" s="212"/>
      <c r="AC62" s="213"/>
      <c r="AD62" s="212"/>
      <c r="AE62" s="213"/>
    </row>
    <row r="63" spans="1:39">
      <c r="A63" s="531" t="s">
        <v>338</v>
      </c>
      <c r="B63" s="499"/>
      <c r="C63" s="398"/>
      <c r="D63" s="147"/>
      <c r="E63" s="398"/>
      <c r="F63" s="147"/>
      <c r="G63" s="398"/>
      <c r="H63" s="147"/>
      <c r="I63" s="398"/>
      <c r="J63" s="147"/>
      <c r="K63" s="398"/>
      <c r="L63" s="147"/>
      <c r="M63" s="398"/>
      <c r="N63" s="147"/>
      <c r="O63" s="398"/>
      <c r="P63" s="147"/>
      <c r="Q63" s="398"/>
      <c r="R63" s="147"/>
      <c r="S63" s="398"/>
      <c r="T63" s="147"/>
      <c r="U63" s="398"/>
      <c r="V63" s="147"/>
      <c r="W63" s="398"/>
      <c r="X63" s="147"/>
      <c r="Y63" s="398"/>
      <c r="Z63" s="147"/>
      <c r="AA63" s="398"/>
      <c r="AB63" s="147"/>
      <c r="AC63" s="398"/>
      <c r="AD63" s="147"/>
      <c r="AE63" s="398"/>
      <c r="AI63" s="117"/>
      <c r="AJ63" s="117"/>
      <c r="AK63" s="117"/>
      <c r="AL63" s="117"/>
      <c r="AM63" s="117"/>
    </row>
    <row r="64" spans="1:39">
      <c r="A64" s="534" t="s">
        <v>339</v>
      </c>
      <c r="B64" s="500"/>
      <c r="C64" s="116"/>
      <c r="D64" s="146"/>
      <c r="E64" s="116"/>
      <c r="F64" s="146"/>
      <c r="G64" s="116"/>
      <c r="H64" s="146"/>
      <c r="I64" s="116"/>
      <c r="J64" s="146"/>
      <c r="K64" s="116"/>
      <c r="L64" s="146"/>
      <c r="M64" s="116"/>
      <c r="N64" s="146"/>
      <c r="O64" s="116"/>
      <c r="P64" s="146"/>
      <c r="Q64" s="116"/>
      <c r="R64" s="146"/>
      <c r="S64" s="116"/>
      <c r="T64" s="146"/>
      <c r="U64" s="116"/>
      <c r="V64" s="146"/>
      <c r="W64" s="116"/>
      <c r="X64" s="146"/>
      <c r="Y64" s="116"/>
      <c r="Z64" s="146"/>
      <c r="AA64" s="116"/>
      <c r="AB64" s="146"/>
      <c r="AC64" s="116"/>
      <c r="AD64" s="146"/>
      <c r="AE64" s="116"/>
      <c r="AI64" s="117"/>
      <c r="AJ64" s="117"/>
      <c r="AK64" s="117"/>
      <c r="AL64" s="117"/>
      <c r="AM64" s="117"/>
    </row>
    <row r="65" spans="1:39" ht="13.5" thickBot="1">
      <c r="A65" s="534" t="s">
        <v>340</v>
      </c>
      <c r="B65" s="500"/>
      <c r="C65" s="116"/>
      <c r="D65" s="146"/>
      <c r="E65" s="116"/>
      <c r="F65" s="146"/>
      <c r="G65" s="116"/>
      <c r="H65" s="146"/>
      <c r="I65" s="116"/>
      <c r="J65" s="146"/>
      <c r="K65" s="116"/>
      <c r="L65" s="146"/>
      <c r="M65" s="116"/>
      <c r="N65" s="146"/>
      <c r="O65" s="116"/>
      <c r="P65" s="146"/>
      <c r="Q65" s="116"/>
      <c r="R65" s="146"/>
      <c r="S65" s="116"/>
      <c r="T65" s="146"/>
      <c r="U65" s="116"/>
      <c r="V65" s="146"/>
      <c r="W65" s="116"/>
      <c r="X65" s="146"/>
      <c r="Y65" s="116"/>
      <c r="Z65" s="146"/>
      <c r="AA65" s="116"/>
      <c r="AB65" s="146"/>
      <c r="AC65" s="116"/>
      <c r="AD65" s="146"/>
      <c r="AE65" s="116"/>
      <c r="AI65" s="117"/>
      <c r="AJ65" s="117"/>
      <c r="AK65" s="117"/>
      <c r="AL65" s="117"/>
      <c r="AM65" s="117"/>
    </row>
    <row r="66" spans="1:39" ht="16.5" thickBot="1">
      <c r="A66" s="410" t="s">
        <v>341</v>
      </c>
      <c r="B66" s="496"/>
      <c r="C66" s="213"/>
      <c r="D66" s="212"/>
      <c r="E66" s="213"/>
      <c r="F66" s="212"/>
      <c r="G66" s="213"/>
      <c r="H66" s="212"/>
      <c r="I66" s="213"/>
      <c r="J66" s="212"/>
      <c r="K66" s="213"/>
      <c r="L66" s="212"/>
      <c r="M66" s="213"/>
      <c r="N66" s="212"/>
      <c r="O66" s="213"/>
      <c r="P66" s="212"/>
      <c r="Q66" s="213"/>
      <c r="R66" s="212"/>
      <c r="S66" s="213"/>
      <c r="T66" s="212"/>
      <c r="U66" s="213"/>
      <c r="V66" s="212"/>
      <c r="W66" s="213"/>
      <c r="X66" s="212"/>
      <c r="Y66" s="213"/>
      <c r="Z66" s="212"/>
      <c r="AA66" s="213"/>
      <c r="AB66" s="212"/>
      <c r="AC66" s="213"/>
      <c r="AD66" s="212"/>
      <c r="AE66" s="213"/>
      <c r="AI66" s="117"/>
      <c r="AJ66" s="117"/>
      <c r="AK66" s="117"/>
      <c r="AL66" s="117"/>
      <c r="AM66" s="117"/>
    </row>
    <row r="67" spans="1:39">
      <c r="A67" s="531" t="s">
        <v>342</v>
      </c>
      <c r="B67" s="499"/>
      <c r="C67" s="398"/>
      <c r="D67" s="147"/>
      <c r="E67" s="398"/>
      <c r="F67" s="147"/>
      <c r="G67" s="398"/>
      <c r="H67" s="147"/>
      <c r="I67" s="398"/>
      <c r="J67" s="147"/>
      <c r="K67" s="398"/>
      <c r="L67" s="147"/>
      <c r="M67" s="398"/>
      <c r="N67" s="147"/>
      <c r="O67" s="398"/>
      <c r="P67" s="147"/>
      <c r="Q67" s="398"/>
      <c r="R67" s="147"/>
      <c r="S67" s="398"/>
      <c r="T67" s="147"/>
      <c r="U67" s="398"/>
      <c r="V67" s="147"/>
      <c r="W67" s="398"/>
      <c r="X67" s="147"/>
      <c r="Y67" s="398"/>
      <c r="Z67" s="147"/>
      <c r="AA67" s="398"/>
      <c r="AB67" s="147"/>
      <c r="AC67" s="398"/>
      <c r="AD67" s="147"/>
      <c r="AE67" s="398"/>
    </row>
    <row r="68" spans="1:39">
      <c r="A68" s="534" t="s">
        <v>343</v>
      </c>
      <c r="B68" s="500"/>
      <c r="C68" s="116"/>
      <c r="D68" s="146"/>
      <c r="E68" s="116"/>
      <c r="F68" s="146"/>
      <c r="G68" s="116"/>
      <c r="H68" s="146"/>
      <c r="I68" s="116"/>
      <c r="J68" s="146"/>
      <c r="K68" s="116"/>
      <c r="L68" s="146"/>
      <c r="M68" s="116"/>
      <c r="N68" s="146"/>
      <c r="O68" s="116"/>
      <c r="P68" s="146"/>
      <c r="Q68" s="116"/>
      <c r="R68" s="146"/>
      <c r="S68" s="116"/>
      <c r="T68" s="146"/>
      <c r="U68" s="116"/>
      <c r="V68" s="146"/>
      <c r="W68" s="116"/>
      <c r="X68" s="146"/>
      <c r="Y68" s="116"/>
      <c r="Z68" s="146"/>
      <c r="AA68" s="116"/>
      <c r="AB68" s="146"/>
      <c r="AC68" s="116"/>
      <c r="AD68" s="146"/>
      <c r="AE68" s="116"/>
    </row>
    <row r="69" spans="1:39" ht="13.5" thickBot="1">
      <c r="A69" s="534" t="s">
        <v>344</v>
      </c>
      <c r="B69" s="500"/>
      <c r="C69" s="116"/>
      <c r="D69" s="146"/>
      <c r="E69" s="116"/>
      <c r="F69" s="146"/>
      <c r="G69" s="116"/>
      <c r="H69" s="146"/>
      <c r="I69" s="116"/>
      <c r="J69" s="146"/>
      <c r="K69" s="116"/>
      <c r="L69" s="146"/>
      <c r="M69" s="116"/>
      <c r="N69" s="146"/>
      <c r="O69" s="116"/>
      <c r="P69" s="146"/>
      <c r="Q69" s="116"/>
      <c r="R69" s="146"/>
      <c r="S69" s="116"/>
      <c r="T69" s="146"/>
      <c r="U69" s="116"/>
      <c r="V69" s="146"/>
      <c r="W69" s="116"/>
      <c r="X69" s="146"/>
      <c r="Y69" s="116"/>
      <c r="Z69" s="146"/>
      <c r="AA69" s="116"/>
      <c r="AB69" s="146"/>
      <c r="AC69" s="116"/>
      <c r="AD69" s="146"/>
      <c r="AE69" s="116"/>
    </row>
    <row r="70" spans="1:39" ht="16.5" thickBot="1">
      <c r="A70" s="410" t="s">
        <v>68</v>
      </c>
      <c r="B70" s="496"/>
      <c r="C70" s="213"/>
      <c r="D70" s="212"/>
      <c r="E70" s="213"/>
      <c r="F70" s="212"/>
      <c r="G70" s="213"/>
      <c r="H70" s="212"/>
      <c r="I70" s="213"/>
      <c r="J70" s="212"/>
      <c r="K70" s="213"/>
      <c r="L70" s="212"/>
      <c r="M70" s="213"/>
      <c r="N70" s="212"/>
      <c r="O70" s="213"/>
      <c r="P70" s="212"/>
      <c r="Q70" s="213"/>
      <c r="R70" s="212"/>
      <c r="S70" s="213"/>
      <c r="T70" s="212"/>
      <c r="U70" s="213"/>
      <c r="V70" s="212"/>
      <c r="W70" s="213"/>
      <c r="X70" s="212"/>
      <c r="Y70" s="213"/>
      <c r="Z70" s="212"/>
      <c r="AA70" s="213"/>
      <c r="AB70" s="212"/>
      <c r="AC70" s="213"/>
      <c r="AD70" s="212"/>
      <c r="AE70" s="213"/>
    </row>
    <row r="71" spans="1:39">
      <c r="A71" s="548" t="s">
        <v>69</v>
      </c>
      <c r="B71" s="501"/>
      <c r="C71" s="394">
        <v>63.86</v>
      </c>
      <c r="D71" s="300"/>
      <c r="E71" s="470">
        <v>40.409999999999997</v>
      </c>
      <c r="F71" s="300"/>
      <c r="G71" s="394"/>
      <c r="H71" s="300"/>
      <c r="I71" s="394"/>
      <c r="J71" s="300"/>
      <c r="K71" s="435"/>
      <c r="L71" s="436"/>
      <c r="M71" s="435"/>
      <c r="N71" s="436"/>
      <c r="O71" s="435"/>
      <c r="P71" s="436"/>
      <c r="Q71" s="435"/>
      <c r="R71" s="436"/>
      <c r="S71" s="435"/>
      <c r="T71" s="436"/>
      <c r="U71" s="435"/>
      <c r="V71" s="436"/>
      <c r="W71" s="435"/>
      <c r="X71" s="436"/>
      <c r="Y71" s="435"/>
      <c r="Z71" s="436"/>
      <c r="AA71" s="435"/>
      <c r="AB71" s="436"/>
      <c r="AC71" s="435"/>
      <c r="AD71" s="436"/>
      <c r="AE71" s="435"/>
    </row>
    <row r="72" spans="1:39">
      <c r="A72" s="532" t="s">
        <v>361</v>
      </c>
      <c r="B72" s="502"/>
      <c r="C72" s="394">
        <v>63.86</v>
      </c>
      <c r="D72" s="300"/>
      <c r="E72" s="470">
        <v>40.409999999999997</v>
      </c>
      <c r="F72" s="300"/>
      <c r="G72" s="394"/>
      <c r="H72" s="300"/>
      <c r="I72" s="394"/>
      <c r="J72" s="300"/>
      <c r="K72" s="435"/>
      <c r="L72" s="300"/>
      <c r="M72" s="435"/>
      <c r="N72" s="300"/>
      <c r="O72" s="435"/>
      <c r="P72" s="300"/>
      <c r="Q72" s="435"/>
      <c r="R72" s="300"/>
      <c r="S72" s="435"/>
      <c r="T72" s="300"/>
      <c r="U72" s="435"/>
      <c r="V72" s="300"/>
      <c r="W72" s="435"/>
      <c r="X72" s="300"/>
      <c r="Y72" s="435"/>
      <c r="Z72" s="300"/>
      <c r="AA72" s="435"/>
      <c r="AB72" s="300"/>
      <c r="AC72" s="435"/>
      <c r="AD72" s="300"/>
      <c r="AE72" s="435"/>
    </row>
    <row r="73" spans="1:39">
      <c r="A73" s="532" t="s">
        <v>8</v>
      </c>
      <c r="B73" s="503"/>
      <c r="C73" s="394">
        <v>63.86</v>
      </c>
      <c r="D73" s="300"/>
      <c r="E73" s="470">
        <v>40.409999999999997</v>
      </c>
      <c r="F73" s="300"/>
      <c r="G73" s="394"/>
      <c r="H73" s="300"/>
      <c r="I73" s="394"/>
      <c r="J73" s="300"/>
      <c r="K73" s="435"/>
      <c r="L73" s="437"/>
      <c r="M73" s="311"/>
      <c r="N73" s="437"/>
      <c r="O73" s="311"/>
      <c r="P73" s="437"/>
      <c r="Q73" s="311"/>
      <c r="R73" s="437"/>
      <c r="S73" s="311"/>
      <c r="T73" s="437"/>
      <c r="U73" s="311"/>
      <c r="V73" s="437"/>
      <c r="W73" s="311"/>
      <c r="X73" s="437"/>
      <c r="Y73" s="311"/>
      <c r="Z73" s="437"/>
      <c r="AA73" s="311"/>
      <c r="AB73" s="437"/>
      <c r="AC73" s="311"/>
      <c r="AD73" s="437"/>
      <c r="AE73" s="311"/>
    </row>
    <row r="74" spans="1:39">
      <c r="A74" s="532" t="s">
        <v>378</v>
      </c>
      <c r="B74" s="503"/>
      <c r="C74" s="394">
        <v>63.86</v>
      </c>
      <c r="D74" s="503"/>
      <c r="E74" s="394">
        <v>40.409999999999997</v>
      </c>
      <c r="F74" s="503"/>
      <c r="G74" s="394"/>
      <c r="H74" s="503"/>
      <c r="I74" s="394"/>
      <c r="J74" s="503"/>
      <c r="K74" s="394"/>
      <c r="L74" s="437"/>
      <c r="M74" s="311"/>
      <c r="N74" s="437"/>
      <c r="O74" s="311"/>
      <c r="P74" s="437"/>
      <c r="Q74" s="311"/>
      <c r="R74" s="437"/>
      <c r="S74" s="311"/>
      <c r="T74" s="437"/>
      <c r="U74" s="311"/>
      <c r="V74" s="437"/>
      <c r="W74" s="311"/>
      <c r="X74" s="437"/>
      <c r="Y74" s="311"/>
      <c r="Z74" s="437"/>
      <c r="AA74" s="311"/>
      <c r="AB74" s="437"/>
      <c r="AC74" s="311"/>
      <c r="AD74" s="437"/>
      <c r="AE74" s="311"/>
    </row>
    <row r="75" spans="1:39">
      <c r="A75" s="532" t="s">
        <v>7</v>
      </c>
      <c r="B75" s="549"/>
      <c r="C75" s="394">
        <v>63.86</v>
      </c>
      <c r="D75" s="549"/>
      <c r="E75" s="394">
        <v>40.409999999999997</v>
      </c>
      <c r="F75" s="549"/>
      <c r="G75" s="394"/>
      <c r="H75" s="549"/>
      <c r="I75" s="394"/>
      <c r="J75" s="549"/>
      <c r="K75" s="394"/>
      <c r="L75" s="437"/>
      <c r="M75" s="311"/>
      <c r="N75" s="437"/>
      <c r="O75" s="311"/>
      <c r="P75" s="437"/>
      <c r="Q75" s="311"/>
      <c r="R75" s="437"/>
      <c r="S75" s="311"/>
      <c r="T75" s="437"/>
      <c r="U75" s="311"/>
      <c r="V75" s="437"/>
      <c r="W75" s="311"/>
      <c r="X75" s="437"/>
      <c r="Y75" s="311"/>
      <c r="Z75" s="437"/>
      <c r="AA75" s="311"/>
      <c r="AB75" s="437"/>
      <c r="AC75" s="311"/>
      <c r="AD75" s="437"/>
      <c r="AE75" s="311"/>
    </row>
    <row r="76" spans="1:39">
      <c r="A76" s="532" t="s">
        <v>379</v>
      </c>
      <c r="B76" s="549"/>
      <c r="C76" s="394">
        <v>63.86</v>
      </c>
      <c r="D76" s="549"/>
      <c r="E76" s="394">
        <v>40.409999999999997</v>
      </c>
      <c r="F76" s="549"/>
      <c r="G76" s="394"/>
      <c r="H76" s="549"/>
      <c r="I76" s="394"/>
      <c r="J76" s="549"/>
      <c r="K76" s="394"/>
      <c r="L76" s="437"/>
      <c r="M76" s="311"/>
      <c r="N76" s="437"/>
      <c r="O76" s="311"/>
      <c r="P76" s="437"/>
      <c r="Q76" s="311"/>
      <c r="R76" s="437"/>
      <c r="S76" s="311"/>
      <c r="T76" s="437"/>
      <c r="U76" s="311"/>
      <c r="V76" s="437"/>
      <c r="W76" s="311"/>
      <c r="X76" s="437"/>
      <c r="Y76" s="311"/>
      <c r="Z76" s="437"/>
      <c r="AA76" s="311"/>
      <c r="AB76" s="437"/>
      <c r="AC76" s="311"/>
      <c r="AD76" s="437"/>
      <c r="AE76" s="311"/>
    </row>
    <row r="77" spans="1:39">
      <c r="A77" s="522" t="s">
        <v>70</v>
      </c>
      <c r="B77" s="549"/>
      <c r="C77" s="394"/>
      <c r="D77" s="549"/>
      <c r="E77" s="394"/>
      <c r="F77" s="549"/>
      <c r="G77" s="394"/>
      <c r="H77" s="549"/>
      <c r="I77" s="394"/>
      <c r="J77" s="549"/>
      <c r="K77" s="394"/>
      <c r="L77" s="437"/>
      <c r="M77" s="311"/>
      <c r="N77" s="437"/>
      <c r="O77" s="311"/>
      <c r="P77" s="437"/>
      <c r="Q77" s="311"/>
      <c r="R77" s="437"/>
      <c r="S77" s="311"/>
      <c r="T77" s="437"/>
      <c r="U77" s="311"/>
      <c r="V77" s="437"/>
      <c r="W77" s="311"/>
      <c r="X77" s="437"/>
      <c r="Y77" s="311"/>
      <c r="Z77" s="437"/>
      <c r="AA77" s="311"/>
      <c r="AB77" s="437"/>
      <c r="AC77" s="311"/>
      <c r="AD77" s="437"/>
      <c r="AE77" s="311"/>
    </row>
    <row r="78" spans="1:39">
      <c r="A78" s="181" t="s">
        <v>71</v>
      </c>
      <c r="B78" s="549"/>
      <c r="C78" s="394"/>
      <c r="D78" s="549"/>
      <c r="E78" s="394"/>
      <c r="F78" s="549"/>
      <c r="G78" s="394"/>
      <c r="H78" s="549"/>
      <c r="I78" s="394"/>
      <c r="J78" s="549"/>
      <c r="K78" s="394"/>
      <c r="L78" s="437"/>
      <c r="M78" s="311"/>
      <c r="N78" s="437"/>
      <c r="O78" s="311"/>
      <c r="P78" s="437"/>
      <c r="Q78" s="311"/>
      <c r="R78" s="437"/>
      <c r="S78" s="311"/>
      <c r="T78" s="437"/>
      <c r="U78" s="311"/>
      <c r="V78" s="437"/>
      <c r="W78" s="311"/>
      <c r="X78" s="437"/>
      <c r="Y78" s="311"/>
      <c r="Z78" s="437"/>
      <c r="AA78" s="311"/>
      <c r="AB78" s="437"/>
      <c r="AC78" s="311"/>
      <c r="AD78" s="437"/>
      <c r="AE78" s="311"/>
    </row>
    <row r="79" spans="1:39">
      <c r="A79" s="532" t="s">
        <v>4</v>
      </c>
      <c r="B79" s="549"/>
      <c r="C79" s="394"/>
      <c r="D79" s="549"/>
      <c r="E79" s="394"/>
      <c r="F79" s="549"/>
      <c r="G79" s="394"/>
      <c r="H79" s="549"/>
      <c r="I79" s="394"/>
      <c r="J79" s="549"/>
      <c r="K79" s="394"/>
      <c r="L79" s="437"/>
      <c r="M79" s="311"/>
      <c r="N79" s="437"/>
      <c r="O79" s="311"/>
      <c r="P79" s="437"/>
      <c r="Q79" s="311"/>
      <c r="R79" s="437"/>
      <c r="S79" s="311"/>
      <c r="T79" s="437"/>
      <c r="U79" s="311"/>
      <c r="V79" s="437"/>
      <c r="W79" s="311"/>
      <c r="X79" s="437"/>
      <c r="Y79" s="311"/>
      <c r="Z79" s="437"/>
      <c r="AA79" s="311"/>
      <c r="AB79" s="437"/>
      <c r="AC79" s="311"/>
      <c r="AD79" s="437"/>
      <c r="AE79" s="311"/>
    </row>
    <row r="80" spans="1:39">
      <c r="A80" s="181" t="s">
        <v>72</v>
      </c>
      <c r="B80" s="503"/>
      <c r="C80" s="303"/>
      <c r="D80" s="302"/>
      <c r="E80" s="470"/>
      <c r="F80" s="302"/>
      <c r="G80" s="303"/>
      <c r="H80" s="302"/>
      <c r="I80" s="303"/>
      <c r="J80" s="437"/>
      <c r="K80" s="311"/>
      <c r="L80" s="437"/>
      <c r="M80" s="311"/>
      <c r="N80" s="437"/>
      <c r="O80" s="311"/>
      <c r="P80" s="437"/>
      <c r="Q80" s="311"/>
      <c r="R80" s="437"/>
      <c r="S80" s="311"/>
      <c r="T80" s="437"/>
      <c r="U80" s="311"/>
      <c r="V80" s="437"/>
      <c r="W80" s="311"/>
      <c r="X80" s="437"/>
      <c r="Y80" s="311"/>
      <c r="Z80" s="437"/>
      <c r="AA80" s="311"/>
      <c r="AB80" s="437"/>
      <c r="AC80" s="311"/>
      <c r="AD80" s="437"/>
      <c r="AE80" s="311"/>
    </row>
    <row r="81" spans="1:45">
      <c r="A81" s="181" t="s">
        <v>244</v>
      </c>
      <c r="B81" s="503"/>
      <c r="C81" s="303"/>
      <c r="D81" s="302"/>
      <c r="E81" s="470"/>
      <c r="F81" s="302"/>
      <c r="G81" s="303"/>
      <c r="H81" s="302"/>
      <c r="I81" s="303"/>
      <c r="J81" s="437"/>
      <c r="K81" s="311"/>
      <c r="L81" s="437"/>
      <c r="M81" s="311"/>
      <c r="N81" s="437"/>
      <c r="O81" s="311"/>
      <c r="P81" s="437"/>
      <c r="Q81" s="311"/>
      <c r="R81" s="437"/>
      <c r="S81" s="311"/>
      <c r="T81" s="437"/>
      <c r="U81" s="311"/>
      <c r="V81" s="437"/>
      <c r="W81" s="311"/>
      <c r="X81" s="437"/>
      <c r="Y81" s="311"/>
      <c r="Z81" s="437"/>
      <c r="AA81" s="311"/>
      <c r="AB81" s="437"/>
      <c r="AC81" s="311"/>
      <c r="AD81" s="437"/>
      <c r="AE81" s="311"/>
    </row>
    <row r="82" spans="1:45">
      <c r="A82" s="531" t="s">
        <v>73</v>
      </c>
      <c r="B82" s="503"/>
      <c r="C82" s="303"/>
      <c r="D82" s="302"/>
      <c r="E82" s="470"/>
      <c r="F82" s="302"/>
      <c r="G82" s="303"/>
      <c r="H82" s="302"/>
      <c r="I82" s="303"/>
      <c r="J82" s="437"/>
      <c r="K82" s="311"/>
      <c r="L82" s="437"/>
      <c r="M82" s="311"/>
      <c r="N82" s="437"/>
      <c r="O82" s="311"/>
      <c r="P82" s="437"/>
      <c r="Q82" s="311"/>
      <c r="R82" s="437"/>
      <c r="S82" s="311"/>
      <c r="T82" s="437"/>
      <c r="U82" s="311"/>
      <c r="V82" s="437"/>
      <c r="W82" s="311"/>
      <c r="X82" s="437"/>
      <c r="Y82" s="311"/>
      <c r="Z82" s="437"/>
      <c r="AA82" s="311"/>
      <c r="AB82" s="437"/>
      <c r="AC82" s="311"/>
      <c r="AD82" s="437"/>
      <c r="AE82" s="311"/>
    </row>
    <row r="83" spans="1:45">
      <c r="A83" s="525" t="s">
        <v>24</v>
      </c>
      <c r="B83" s="503"/>
      <c r="C83" s="303"/>
      <c r="D83" s="302"/>
      <c r="E83" s="470"/>
      <c r="F83" s="302"/>
      <c r="G83" s="303"/>
      <c r="H83" s="302"/>
      <c r="I83" s="303"/>
      <c r="J83" s="437"/>
      <c r="K83" s="311"/>
      <c r="L83" s="437"/>
      <c r="M83" s="311"/>
      <c r="N83" s="437"/>
      <c r="O83" s="311"/>
      <c r="P83" s="437"/>
      <c r="Q83" s="311"/>
      <c r="R83" s="437"/>
      <c r="S83" s="311"/>
      <c r="T83" s="437"/>
      <c r="U83" s="311"/>
      <c r="V83" s="437"/>
      <c r="W83" s="311"/>
      <c r="X83" s="437"/>
      <c r="Y83" s="311"/>
      <c r="Z83" s="437"/>
      <c r="AA83" s="311"/>
      <c r="AB83" s="437"/>
      <c r="AC83" s="311"/>
      <c r="AD83" s="437"/>
      <c r="AE83" s="311"/>
      <c r="AI83" s="117"/>
      <c r="AJ83" s="117"/>
      <c r="AK83" s="117"/>
      <c r="AL83" s="117"/>
      <c r="AM83" s="117"/>
    </row>
    <row r="84" spans="1:45">
      <c r="A84" s="525" t="s">
        <v>74</v>
      </c>
      <c r="B84" s="500"/>
      <c r="C84" s="116"/>
      <c r="D84" s="146"/>
      <c r="E84" s="116"/>
      <c r="F84" s="146"/>
      <c r="G84" s="116"/>
      <c r="H84" s="146"/>
      <c r="I84" s="116"/>
      <c r="J84" s="146"/>
      <c r="K84" s="116"/>
      <c r="L84" s="146"/>
      <c r="M84" s="116"/>
      <c r="N84" s="146"/>
      <c r="O84" s="116"/>
      <c r="P84" s="146"/>
      <c r="Q84" s="116"/>
      <c r="R84" s="146"/>
      <c r="S84" s="116"/>
      <c r="T84" s="146"/>
      <c r="U84" s="116"/>
      <c r="V84" s="146"/>
      <c r="W84" s="116"/>
      <c r="X84" s="146"/>
      <c r="Y84" s="116"/>
      <c r="Z84" s="146"/>
      <c r="AA84" s="116"/>
      <c r="AB84" s="146"/>
      <c r="AC84" s="116"/>
      <c r="AD84" s="146"/>
      <c r="AE84" s="116"/>
      <c r="AI84" s="117"/>
      <c r="AJ84" s="117"/>
      <c r="AK84" s="117"/>
      <c r="AL84" s="117"/>
      <c r="AM84" s="117"/>
    </row>
    <row r="85" spans="1:45">
      <c r="A85" s="525" t="s">
        <v>75</v>
      </c>
      <c r="B85" s="503"/>
      <c r="C85" s="394">
        <v>63.13</v>
      </c>
      <c r="D85" s="300"/>
      <c r="E85" s="470">
        <v>39.79</v>
      </c>
      <c r="F85" s="302"/>
      <c r="G85" s="313"/>
      <c r="H85" s="302"/>
      <c r="I85" s="412"/>
      <c r="J85" s="300"/>
      <c r="K85" s="311"/>
      <c r="L85" s="437"/>
      <c r="M85" s="311"/>
      <c r="N85" s="437"/>
      <c r="O85" s="311"/>
      <c r="P85" s="437"/>
      <c r="Q85" s="311"/>
      <c r="R85" s="437"/>
      <c r="S85" s="311"/>
      <c r="T85" s="437"/>
      <c r="U85" s="311"/>
      <c r="V85" s="437"/>
      <c r="W85" s="311"/>
      <c r="X85" s="437"/>
      <c r="Y85" s="311"/>
      <c r="Z85" s="437"/>
      <c r="AA85" s="311"/>
      <c r="AB85" s="437"/>
      <c r="AC85" s="311"/>
      <c r="AD85" s="437"/>
      <c r="AE85" s="311"/>
      <c r="AI85" s="117"/>
      <c r="AJ85" s="117"/>
      <c r="AK85" s="117"/>
      <c r="AL85" s="117"/>
      <c r="AM85" s="117"/>
    </row>
    <row r="86" spans="1:45">
      <c r="A86" s="525" t="s">
        <v>252</v>
      </c>
      <c r="B86" s="500"/>
      <c r="C86" s="116"/>
      <c r="D86" s="146"/>
      <c r="E86" s="116"/>
      <c r="F86" s="146"/>
      <c r="G86" s="398"/>
      <c r="H86" s="146"/>
      <c r="I86" s="116"/>
      <c r="J86" s="146"/>
      <c r="K86" s="116"/>
      <c r="L86" s="146"/>
      <c r="M86" s="116"/>
      <c r="N86" s="146"/>
      <c r="O86" s="116"/>
      <c r="P86" s="146"/>
      <c r="Q86" s="116"/>
      <c r="R86" s="146"/>
      <c r="S86" s="116"/>
      <c r="T86" s="146"/>
      <c r="U86" s="116"/>
      <c r="V86" s="146"/>
      <c r="W86" s="116"/>
      <c r="X86" s="146"/>
      <c r="Y86" s="116"/>
      <c r="Z86" s="146"/>
      <c r="AA86" s="116"/>
      <c r="AB86" s="146"/>
      <c r="AC86" s="116"/>
      <c r="AD86" s="146"/>
      <c r="AE86" s="116"/>
    </row>
    <row r="87" spans="1:45">
      <c r="A87" s="525" t="s">
        <v>253</v>
      </c>
      <c r="B87" s="500"/>
      <c r="C87" s="116"/>
      <c r="D87" s="146"/>
      <c r="E87" s="116"/>
      <c r="F87" s="146"/>
      <c r="G87" s="116"/>
      <c r="H87" s="146"/>
      <c r="I87" s="116"/>
      <c r="J87" s="146"/>
      <c r="K87" s="116"/>
      <c r="L87" s="146"/>
      <c r="M87" s="116"/>
      <c r="N87" s="146"/>
      <c r="O87" s="116"/>
      <c r="P87" s="146"/>
      <c r="Q87" s="116"/>
      <c r="R87" s="146"/>
      <c r="S87" s="116"/>
      <c r="T87" s="146"/>
      <c r="U87" s="116"/>
      <c r="V87" s="146"/>
      <c r="W87" s="116"/>
      <c r="X87" s="146"/>
      <c r="Y87" s="116"/>
      <c r="Z87" s="146"/>
      <c r="AA87" s="116"/>
      <c r="AB87" s="146"/>
      <c r="AC87" s="116"/>
      <c r="AD87" s="146"/>
      <c r="AE87" s="116"/>
    </row>
    <row r="88" spans="1:45" s="117" customFormat="1" ht="12.75" customHeight="1">
      <c r="A88" s="532" t="s">
        <v>362</v>
      </c>
      <c r="B88" s="503"/>
      <c r="C88" s="303">
        <v>69.760000000000005</v>
      </c>
      <c r="D88" s="300"/>
      <c r="E88" s="470">
        <v>42.54</v>
      </c>
      <c r="F88" s="300"/>
      <c r="G88" s="303"/>
      <c r="H88" s="300"/>
      <c r="I88" s="303"/>
      <c r="J88" s="300"/>
      <c r="K88" s="311"/>
      <c r="L88" s="437"/>
      <c r="M88" s="311"/>
      <c r="N88" s="437"/>
      <c r="O88" s="311"/>
      <c r="P88" s="437"/>
      <c r="Q88" s="311"/>
      <c r="R88" s="437"/>
      <c r="S88" s="311"/>
      <c r="T88" s="437"/>
      <c r="U88" s="311"/>
      <c r="V88" s="437"/>
      <c r="W88" s="311"/>
      <c r="X88" s="437"/>
      <c r="Y88" s="311"/>
      <c r="Z88" s="437"/>
      <c r="AA88" s="311"/>
      <c r="AB88" s="437"/>
      <c r="AC88" s="311"/>
      <c r="AD88" s="437"/>
      <c r="AE88" s="311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</row>
    <row r="89" spans="1:45" s="117" customFormat="1" ht="12.75" customHeight="1">
      <c r="A89" s="532" t="s">
        <v>363</v>
      </c>
      <c r="B89" s="503"/>
      <c r="C89" s="303">
        <v>69.760000000000005</v>
      </c>
      <c r="D89" s="300"/>
      <c r="E89" s="470">
        <v>42.54</v>
      </c>
      <c r="F89" s="300"/>
      <c r="G89" s="303"/>
      <c r="H89" s="300"/>
      <c r="I89" s="303"/>
      <c r="J89" s="300"/>
      <c r="K89" s="311"/>
      <c r="L89" s="437"/>
      <c r="M89" s="311"/>
      <c r="N89" s="437"/>
      <c r="O89" s="311"/>
      <c r="P89" s="437"/>
      <c r="Q89" s="311"/>
      <c r="R89" s="437"/>
      <c r="S89" s="311"/>
      <c r="T89" s="437"/>
      <c r="U89" s="311"/>
      <c r="V89" s="437"/>
      <c r="W89" s="311"/>
      <c r="X89" s="437"/>
      <c r="Y89" s="311"/>
      <c r="Z89" s="437"/>
      <c r="AA89" s="311"/>
      <c r="AB89" s="437"/>
      <c r="AC89" s="311"/>
      <c r="AD89" s="437"/>
      <c r="AE89" s="311"/>
    </row>
    <row r="90" spans="1:45" s="117" customFormat="1" ht="13.5" customHeight="1">
      <c r="A90" s="525" t="s">
        <v>335</v>
      </c>
      <c r="B90" s="503"/>
      <c r="C90" s="303">
        <v>66.06</v>
      </c>
      <c r="D90" s="300"/>
      <c r="E90" s="470">
        <v>42.54</v>
      </c>
      <c r="F90" s="300"/>
      <c r="G90" s="303"/>
      <c r="H90" s="300"/>
      <c r="I90" s="303"/>
      <c r="J90" s="300"/>
      <c r="K90" s="311"/>
      <c r="L90" s="437"/>
      <c r="M90" s="311"/>
      <c r="N90" s="437"/>
      <c r="O90" s="311"/>
      <c r="P90" s="437"/>
      <c r="Q90" s="311"/>
      <c r="R90" s="437"/>
      <c r="S90" s="311"/>
      <c r="T90" s="437"/>
      <c r="U90" s="311"/>
      <c r="V90" s="437"/>
      <c r="W90" s="311"/>
      <c r="X90" s="437"/>
      <c r="Y90" s="311"/>
      <c r="Z90" s="437"/>
      <c r="AA90" s="311"/>
      <c r="AB90" s="437"/>
      <c r="AC90" s="311"/>
      <c r="AD90" s="437"/>
      <c r="AE90" s="311"/>
      <c r="AH90" s="109"/>
      <c r="AI90" s="109"/>
      <c r="AJ90" s="109"/>
      <c r="AK90" s="109"/>
      <c r="AL90" s="109"/>
      <c r="AM90" s="109"/>
    </row>
    <row r="91" spans="1:45" ht="13.5" thickBot="1">
      <c r="A91" s="525" t="s">
        <v>336</v>
      </c>
      <c r="B91" s="503"/>
      <c r="C91" s="303">
        <v>68.19</v>
      </c>
      <c r="D91" s="302"/>
      <c r="E91" s="470">
        <v>45.77</v>
      </c>
      <c r="F91" s="302"/>
      <c r="G91" s="303"/>
      <c r="H91" s="302"/>
      <c r="I91" s="303"/>
      <c r="J91" s="437"/>
      <c r="K91" s="311"/>
      <c r="L91" s="437"/>
      <c r="M91" s="311"/>
      <c r="N91" s="437"/>
      <c r="O91" s="311"/>
      <c r="P91" s="437"/>
      <c r="Q91" s="311"/>
      <c r="R91" s="437"/>
      <c r="S91" s="311"/>
      <c r="T91" s="437"/>
      <c r="U91" s="311"/>
      <c r="V91" s="437"/>
      <c r="W91" s="311"/>
      <c r="X91" s="437"/>
      <c r="Y91" s="311"/>
      <c r="Z91" s="437"/>
      <c r="AA91" s="311"/>
      <c r="AB91" s="437"/>
      <c r="AC91" s="311"/>
      <c r="AD91" s="437"/>
      <c r="AE91" s="311"/>
      <c r="AF91" s="117"/>
      <c r="AG91" s="117"/>
      <c r="AN91" s="117"/>
      <c r="AO91" s="117"/>
      <c r="AP91" s="117"/>
      <c r="AQ91" s="117"/>
      <c r="AR91" s="117"/>
      <c r="AS91" s="117"/>
    </row>
    <row r="92" spans="1:45" ht="16.5" thickBot="1">
      <c r="A92" s="410" t="s">
        <v>154</v>
      </c>
      <c r="B92" s="492"/>
      <c r="C92" s="108"/>
      <c r="D92" s="145"/>
      <c r="E92" s="108"/>
      <c r="F92" s="145"/>
      <c r="G92" s="108"/>
      <c r="H92" s="145"/>
      <c r="I92" s="108"/>
      <c r="J92" s="145"/>
      <c r="K92" s="108"/>
      <c r="L92" s="145"/>
      <c r="M92" s="108"/>
      <c r="N92" s="145"/>
      <c r="O92" s="108"/>
      <c r="P92" s="145"/>
      <c r="Q92" s="108"/>
      <c r="R92" s="145"/>
      <c r="S92" s="108"/>
      <c r="T92" s="145"/>
      <c r="U92" s="108"/>
      <c r="V92" s="145"/>
      <c r="W92" s="108"/>
      <c r="X92" s="145"/>
      <c r="Y92" s="108"/>
      <c r="Z92" s="145"/>
      <c r="AA92" s="108"/>
      <c r="AB92" s="145"/>
      <c r="AC92" s="108"/>
      <c r="AD92" s="145"/>
      <c r="AE92" s="108"/>
    </row>
    <row r="93" spans="1:45" ht="13.5" thickBot="1">
      <c r="A93" s="535" t="s">
        <v>159</v>
      </c>
      <c r="B93" s="499"/>
      <c r="C93" s="304">
        <v>0</v>
      </c>
      <c r="D93" s="147"/>
      <c r="E93" s="304">
        <v>0</v>
      </c>
      <c r="F93" s="147"/>
      <c r="G93" s="304">
        <v>0</v>
      </c>
      <c r="H93" s="147"/>
      <c r="I93" s="304">
        <v>0</v>
      </c>
      <c r="J93" s="147"/>
      <c r="K93" s="438">
        <v>0</v>
      </c>
      <c r="L93" s="147"/>
      <c r="M93" s="438"/>
      <c r="N93" s="147"/>
      <c r="O93" s="438"/>
      <c r="P93" s="147"/>
      <c r="Q93" s="438"/>
      <c r="R93" s="147"/>
      <c r="S93" s="438"/>
      <c r="T93" s="147"/>
      <c r="U93" s="438"/>
      <c r="V93" s="147"/>
      <c r="W93" s="438"/>
      <c r="X93" s="147"/>
      <c r="Y93" s="438"/>
      <c r="Z93" s="147"/>
      <c r="AA93" s="438"/>
      <c r="AB93" s="147"/>
      <c r="AC93" s="438"/>
      <c r="AD93" s="147"/>
      <c r="AE93" s="438"/>
    </row>
    <row r="94" spans="1:45" ht="19.5" thickBot="1">
      <c r="A94" s="410" t="s">
        <v>184</v>
      </c>
      <c r="B94" s="492"/>
      <c r="C94" s="108"/>
      <c r="D94" s="145"/>
      <c r="E94" s="108"/>
      <c r="F94" s="145"/>
      <c r="G94" s="108"/>
      <c r="H94" s="145"/>
      <c r="I94" s="108"/>
      <c r="J94" s="145"/>
      <c r="K94" s="108"/>
      <c r="L94" s="145"/>
      <c r="M94" s="108"/>
      <c r="N94" s="145"/>
      <c r="O94" s="108"/>
      <c r="P94" s="145"/>
      <c r="Q94" s="108"/>
      <c r="R94" s="145"/>
      <c r="S94" s="108"/>
      <c r="T94" s="145"/>
      <c r="U94" s="108"/>
      <c r="V94" s="145"/>
      <c r="W94" s="108"/>
      <c r="X94" s="145"/>
      <c r="Y94" s="108"/>
      <c r="Z94" s="145"/>
      <c r="AA94" s="108"/>
      <c r="AB94" s="145"/>
      <c r="AC94" s="108"/>
      <c r="AD94" s="145"/>
      <c r="AE94" s="108"/>
    </row>
    <row r="95" spans="1:45">
      <c r="A95" s="535" t="s">
        <v>172</v>
      </c>
      <c r="B95" s="504" t="s">
        <v>353</v>
      </c>
      <c r="C95" s="467">
        <v>0</v>
      </c>
      <c r="D95" s="466" t="s">
        <v>353</v>
      </c>
      <c r="E95" s="467">
        <v>0</v>
      </c>
      <c r="F95" s="466" t="s">
        <v>353</v>
      </c>
      <c r="G95" s="467">
        <v>0</v>
      </c>
      <c r="H95" s="466" t="s">
        <v>353</v>
      </c>
      <c r="I95" s="467">
        <v>0</v>
      </c>
      <c r="J95" s="466" t="s">
        <v>353</v>
      </c>
      <c r="K95" s="467">
        <v>0</v>
      </c>
      <c r="L95" s="439"/>
      <c r="M95" s="438"/>
      <c r="N95" s="439"/>
      <c r="O95" s="438"/>
      <c r="P95" s="439"/>
      <c r="Q95" s="438"/>
      <c r="R95" s="439"/>
      <c r="S95" s="438"/>
      <c r="T95" s="439"/>
      <c r="U95" s="438"/>
      <c r="V95" s="439"/>
      <c r="W95" s="438"/>
      <c r="X95" s="439"/>
      <c r="Y95" s="438"/>
      <c r="Z95" s="439"/>
      <c r="AA95" s="438"/>
      <c r="AB95" s="439"/>
      <c r="AC95" s="438"/>
      <c r="AD95" s="439"/>
      <c r="AE95" s="438"/>
    </row>
    <row r="96" spans="1:45">
      <c r="A96" s="536" t="s">
        <v>173</v>
      </c>
      <c r="B96" s="504" t="s">
        <v>411</v>
      </c>
      <c r="C96" s="467">
        <v>12</v>
      </c>
      <c r="D96" s="466" t="s">
        <v>411</v>
      </c>
      <c r="E96" s="467">
        <v>10.5</v>
      </c>
      <c r="F96" s="466"/>
      <c r="G96" s="467"/>
      <c r="H96" s="466"/>
      <c r="I96" s="467"/>
      <c r="J96" s="466"/>
      <c r="K96" s="467"/>
      <c r="L96" s="308"/>
      <c r="M96" s="309"/>
      <c r="N96" s="308"/>
      <c r="O96" s="309"/>
      <c r="P96" s="308"/>
      <c r="Q96" s="309"/>
      <c r="R96" s="308"/>
      <c r="S96" s="309"/>
      <c r="T96" s="308"/>
      <c r="U96" s="309"/>
      <c r="V96" s="308"/>
      <c r="W96" s="309"/>
      <c r="X96" s="308"/>
      <c r="Y96" s="309"/>
      <c r="Z96" s="308"/>
      <c r="AA96" s="309"/>
      <c r="AB96" s="308"/>
      <c r="AC96" s="309"/>
      <c r="AD96" s="308"/>
      <c r="AE96" s="309"/>
    </row>
    <row r="97" spans="1:39">
      <c r="A97" s="536" t="s">
        <v>174</v>
      </c>
      <c r="B97" s="505"/>
      <c r="C97" s="307"/>
      <c r="D97" s="306"/>
      <c r="E97" s="307"/>
      <c r="F97" s="306"/>
      <c r="G97" s="307"/>
      <c r="H97" s="306"/>
      <c r="I97" s="307"/>
      <c r="J97" s="308"/>
      <c r="K97" s="309"/>
      <c r="L97" s="308"/>
      <c r="M97" s="309"/>
      <c r="N97" s="308"/>
      <c r="O97" s="309"/>
      <c r="P97" s="308"/>
      <c r="Q97" s="309"/>
      <c r="R97" s="308"/>
      <c r="S97" s="309"/>
      <c r="T97" s="308"/>
      <c r="U97" s="309"/>
      <c r="V97" s="308"/>
      <c r="W97" s="309"/>
      <c r="X97" s="308"/>
      <c r="Y97" s="309"/>
      <c r="Z97" s="308"/>
      <c r="AA97" s="309"/>
      <c r="AB97" s="308"/>
      <c r="AC97" s="309"/>
      <c r="AD97" s="308"/>
      <c r="AE97" s="309"/>
    </row>
    <row r="98" spans="1:39">
      <c r="A98" s="536" t="s">
        <v>175</v>
      </c>
      <c r="B98" s="505"/>
      <c r="C98" s="307"/>
      <c r="D98" s="306"/>
      <c r="E98" s="307"/>
      <c r="F98" s="306"/>
      <c r="G98" s="307"/>
      <c r="H98" s="306"/>
      <c r="I98" s="307"/>
      <c r="J98" s="308"/>
      <c r="K98" s="309"/>
      <c r="L98" s="308"/>
      <c r="M98" s="309"/>
      <c r="N98" s="308"/>
      <c r="O98" s="309"/>
      <c r="P98" s="308"/>
      <c r="Q98" s="309"/>
      <c r="R98" s="308"/>
      <c r="S98" s="309"/>
      <c r="T98" s="308"/>
      <c r="U98" s="309"/>
      <c r="V98" s="308"/>
      <c r="W98" s="309"/>
      <c r="X98" s="308"/>
      <c r="Y98" s="309"/>
      <c r="Z98" s="308"/>
      <c r="AA98" s="309"/>
      <c r="AB98" s="308"/>
      <c r="AC98" s="309"/>
      <c r="AD98" s="308"/>
      <c r="AE98" s="309"/>
    </row>
    <row r="99" spans="1:39">
      <c r="A99" s="536" t="s">
        <v>209</v>
      </c>
      <c r="B99" s="506"/>
      <c r="C99" s="309"/>
      <c r="D99" s="308"/>
      <c r="E99" s="309"/>
      <c r="F99" s="308"/>
      <c r="G99" s="309"/>
      <c r="H99" s="308"/>
      <c r="I99" s="309"/>
      <c r="J99" s="308"/>
      <c r="K99" s="309"/>
      <c r="L99" s="308"/>
      <c r="M99" s="309"/>
      <c r="N99" s="308"/>
      <c r="O99" s="309"/>
      <c r="P99" s="308"/>
      <c r="Q99" s="309"/>
      <c r="R99" s="308"/>
      <c r="S99" s="309"/>
      <c r="T99" s="308"/>
      <c r="U99" s="309"/>
      <c r="V99" s="308"/>
      <c r="W99" s="309"/>
      <c r="X99" s="308"/>
      <c r="Y99" s="309"/>
      <c r="Z99" s="308"/>
      <c r="AA99" s="309"/>
      <c r="AB99" s="308"/>
      <c r="AC99" s="309"/>
      <c r="AD99" s="308"/>
      <c r="AE99" s="309"/>
    </row>
    <row r="100" spans="1:39">
      <c r="A100" s="536" t="s">
        <v>210</v>
      </c>
      <c r="B100" s="506"/>
      <c r="C100" s="309"/>
      <c r="D100" s="308"/>
      <c r="E100" s="309"/>
      <c r="F100" s="308"/>
      <c r="G100" s="309"/>
      <c r="H100" s="308"/>
      <c r="I100" s="309"/>
      <c r="J100" s="308"/>
      <c r="K100" s="309"/>
      <c r="L100" s="308"/>
      <c r="M100" s="309"/>
      <c r="N100" s="308"/>
      <c r="O100" s="309"/>
      <c r="P100" s="308"/>
      <c r="Q100" s="309"/>
      <c r="R100" s="308"/>
      <c r="S100" s="309"/>
      <c r="T100" s="308"/>
      <c r="U100" s="309"/>
      <c r="V100" s="308"/>
      <c r="W100" s="309"/>
      <c r="X100" s="308"/>
      <c r="Y100" s="309"/>
      <c r="Z100" s="308"/>
      <c r="AA100" s="309"/>
      <c r="AB100" s="308"/>
      <c r="AC100" s="309"/>
      <c r="AD100" s="308"/>
      <c r="AE100" s="309"/>
    </row>
    <row r="101" spans="1:39" ht="13.5" thickBot="1">
      <c r="A101" s="525" t="s">
        <v>211</v>
      </c>
      <c r="B101" s="507"/>
      <c r="C101" s="311"/>
      <c r="D101" s="310"/>
      <c r="E101" s="311"/>
      <c r="F101" s="310"/>
      <c r="G101" s="311"/>
      <c r="H101" s="310"/>
      <c r="I101" s="311"/>
      <c r="J101" s="310"/>
      <c r="K101" s="311"/>
      <c r="L101" s="310"/>
      <c r="M101" s="311"/>
      <c r="N101" s="310"/>
      <c r="O101" s="311"/>
      <c r="P101" s="310"/>
      <c r="Q101" s="311"/>
      <c r="R101" s="310"/>
      <c r="S101" s="311"/>
      <c r="T101" s="310"/>
      <c r="U101" s="311"/>
      <c r="V101" s="310"/>
      <c r="W101" s="311"/>
      <c r="X101" s="310"/>
      <c r="Y101" s="311"/>
      <c r="Z101" s="310"/>
      <c r="AA101" s="311"/>
      <c r="AB101" s="310"/>
      <c r="AC101" s="311"/>
      <c r="AD101" s="310"/>
      <c r="AE101" s="311"/>
    </row>
    <row r="102" spans="1:39" ht="15">
      <c r="A102" s="537"/>
      <c r="B102" s="508"/>
      <c r="C102" s="441"/>
      <c r="D102" s="440"/>
      <c r="E102" s="441"/>
      <c r="F102" s="440"/>
      <c r="G102" s="441"/>
      <c r="H102" s="440"/>
      <c r="I102" s="441"/>
      <c r="J102" s="440"/>
      <c r="K102" s="441"/>
      <c r="L102" s="440"/>
      <c r="M102" s="441"/>
      <c r="N102" s="440"/>
      <c r="O102" s="441"/>
      <c r="P102" s="440"/>
      <c r="Q102" s="441"/>
      <c r="R102" s="440"/>
      <c r="S102" s="441"/>
      <c r="T102" s="440"/>
      <c r="U102" s="441"/>
      <c r="V102" s="440"/>
      <c r="W102" s="441"/>
      <c r="X102" s="440"/>
      <c r="Y102" s="441"/>
      <c r="Z102" s="440"/>
      <c r="AA102" s="441"/>
      <c r="AB102" s="440"/>
      <c r="AC102" s="441"/>
      <c r="AD102" s="440"/>
      <c r="AE102" s="441"/>
    </row>
    <row r="103" spans="1:39">
      <c r="A103" s="538" t="s">
        <v>79</v>
      </c>
      <c r="B103" s="509"/>
      <c r="C103" s="443"/>
      <c r="D103" s="442"/>
      <c r="E103" s="443"/>
      <c r="F103" s="442"/>
      <c r="G103" s="443"/>
      <c r="H103" s="442"/>
      <c r="I103" s="443"/>
      <c r="J103" s="442"/>
      <c r="K103" s="443"/>
      <c r="L103" s="442"/>
      <c r="M103" s="443"/>
      <c r="N103" s="442"/>
      <c r="O103" s="443"/>
      <c r="P103" s="442"/>
      <c r="Q103" s="443"/>
      <c r="R103" s="442"/>
      <c r="S103" s="443"/>
      <c r="T103" s="442"/>
      <c r="U103" s="443"/>
      <c r="V103" s="442"/>
      <c r="W103" s="443"/>
      <c r="X103" s="442"/>
      <c r="Y103" s="443"/>
      <c r="Z103" s="442"/>
      <c r="AA103" s="443"/>
      <c r="AB103" s="442"/>
      <c r="AC103" s="443"/>
      <c r="AD103" s="442"/>
      <c r="AE103" s="443"/>
    </row>
    <row r="104" spans="1:39" ht="36">
      <c r="A104" s="539" t="s">
        <v>163</v>
      </c>
      <c r="B104" s="510" t="s">
        <v>142</v>
      </c>
      <c r="C104" s="445"/>
      <c r="D104" s="444" t="s">
        <v>142</v>
      </c>
      <c r="E104" s="445"/>
      <c r="F104" s="444" t="s">
        <v>142</v>
      </c>
      <c r="G104" s="445"/>
      <c r="H104" s="444" t="s">
        <v>142</v>
      </c>
      <c r="I104" s="445"/>
      <c r="J104" s="444" t="s">
        <v>142</v>
      </c>
      <c r="K104" s="445"/>
      <c r="L104" s="444" t="s">
        <v>142</v>
      </c>
      <c r="M104" s="445"/>
      <c r="N104" s="444" t="s">
        <v>142</v>
      </c>
      <c r="O104" s="445"/>
      <c r="P104" s="444" t="s">
        <v>142</v>
      </c>
      <c r="Q104" s="445"/>
      <c r="R104" s="444" t="s">
        <v>142</v>
      </c>
      <c r="S104" s="445"/>
      <c r="T104" s="444" t="s">
        <v>142</v>
      </c>
      <c r="U104" s="445"/>
      <c r="V104" s="444" t="s">
        <v>142</v>
      </c>
      <c r="W104" s="445"/>
      <c r="X104" s="444" t="s">
        <v>142</v>
      </c>
      <c r="Y104" s="445"/>
      <c r="Z104" s="444" t="s">
        <v>142</v>
      </c>
      <c r="AA104" s="445"/>
      <c r="AB104" s="444" t="s">
        <v>142</v>
      </c>
      <c r="AC104" s="445"/>
      <c r="AD104" s="444" t="s">
        <v>142</v>
      </c>
      <c r="AE104" s="445"/>
    </row>
    <row r="105" spans="1:39">
      <c r="A105" s="539" t="s">
        <v>15</v>
      </c>
      <c r="B105" s="620" t="s">
        <v>412</v>
      </c>
      <c r="C105" s="619"/>
      <c r="D105" s="618" t="s">
        <v>413</v>
      </c>
      <c r="E105" s="619" t="s">
        <v>414</v>
      </c>
      <c r="F105" s="618"/>
      <c r="G105" s="619"/>
      <c r="H105" s="618"/>
      <c r="I105" s="619"/>
      <c r="J105" s="618"/>
      <c r="K105" s="619"/>
      <c r="L105" s="612"/>
      <c r="M105" s="613"/>
      <c r="N105" s="612"/>
      <c r="O105" s="613"/>
      <c r="P105" s="612"/>
      <c r="Q105" s="613"/>
      <c r="R105" s="612"/>
      <c r="S105" s="613"/>
      <c r="T105" s="612"/>
      <c r="U105" s="613"/>
      <c r="V105" s="612"/>
      <c r="W105" s="613"/>
      <c r="X105" s="612"/>
      <c r="Y105" s="613"/>
      <c r="Z105" s="612"/>
      <c r="AA105" s="613"/>
      <c r="AB105" s="612"/>
      <c r="AC105" s="613"/>
      <c r="AD105" s="612"/>
      <c r="AE105" s="613"/>
    </row>
    <row r="106" spans="1:39" ht="13.5" thickBot="1">
      <c r="A106" s="539" t="s">
        <v>222</v>
      </c>
      <c r="B106" s="621" t="s">
        <v>415</v>
      </c>
      <c r="C106" s="615"/>
      <c r="D106" s="614" t="s">
        <v>413</v>
      </c>
      <c r="E106" s="615" t="s">
        <v>414</v>
      </c>
      <c r="F106" s="614"/>
      <c r="G106" s="615"/>
      <c r="H106" s="614"/>
      <c r="I106" s="615"/>
      <c r="J106" s="614"/>
      <c r="K106" s="615"/>
      <c r="L106" s="616"/>
      <c r="M106" s="617"/>
      <c r="N106" s="616"/>
      <c r="O106" s="617"/>
      <c r="P106" s="616"/>
      <c r="Q106" s="617"/>
      <c r="R106" s="616"/>
      <c r="S106" s="617"/>
      <c r="T106" s="616"/>
      <c r="U106" s="617"/>
      <c r="V106" s="616"/>
      <c r="W106" s="617"/>
      <c r="X106" s="616"/>
      <c r="Y106" s="617"/>
      <c r="Z106" s="616"/>
      <c r="AA106" s="617"/>
      <c r="AB106" s="616"/>
      <c r="AC106" s="617"/>
      <c r="AD106" s="616"/>
      <c r="AE106" s="617"/>
    </row>
    <row r="107" spans="1:39" ht="19.5" thickBot="1">
      <c r="A107" s="521" t="s">
        <v>17</v>
      </c>
      <c r="B107" s="113"/>
      <c r="C107" s="114"/>
      <c r="D107" s="144"/>
      <c r="E107" s="114"/>
      <c r="F107" s="144"/>
      <c r="G107" s="114"/>
      <c r="H107" s="144"/>
      <c r="I107" s="114"/>
      <c r="J107" s="144"/>
      <c r="K107" s="114"/>
      <c r="L107" s="144"/>
      <c r="M107" s="114"/>
      <c r="N107" s="144"/>
      <c r="O107" s="114"/>
      <c r="P107" s="144"/>
      <c r="Q107" s="114"/>
      <c r="R107" s="144"/>
      <c r="S107" s="114"/>
      <c r="T107" s="144"/>
      <c r="U107" s="114"/>
      <c r="V107" s="144"/>
      <c r="W107" s="114"/>
      <c r="X107" s="144"/>
      <c r="Y107" s="114"/>
      <c r="Z107" s="144"/>
      <c r="AA107" s="114"/>
      <c r="AB107" s="144"/>
      <c r="AC107" s="114"/>
      <c r="AD107" s="144"/>
      <c r="AE107" s="114"/>
    </row>
    <row r="108" spans="1:39">
      <c r="A108" s="540" t="s">
        <v>345</v>
      </c>
      <c r="B108" s="511"/>
      <c r="C108" s="312">
        <v>63.13</v>
      </c>
      <c r="D108" s="300"/>
      <c r="E108" s="312">
        <v>39.71</v>
      </c>
      <c r="F108" s="300"/>
      <c r="G108" s="312"/>
      <c r="H108" s="300"/>
      <c r="I108" s="312"/>
      <c r="J108" s="300"/>
      <c r="K108" s="312"/>
      <c r="L108" s="446"/>
      <c r="M108" s="447"/>
      <c r="N108" s="446"/>
      <c r="O108" s="447"/>
      <c r="P108" s="446"/>
      <c r="Q108" s="447"/>
      <c r="R108" s="446"/>
      <c r="S108" s="447"/>
      <c r="T108" s="446"/>
      <c r="U108" s="447"/>
      <c r="V108" s="446"/>
      <c r="W108" s="447"/>
      <c r="X108" s="446"/>
      <c r="Y108" s="447"/>
      <c r="Z108" s="446"/>
      <c r="AA108" s="447"/>
      <c r="AB108" s="446"/>
      <c r="AC108" s="447"/>
      <c r="AD108" s="446"/>
      <c r="AE108" s="447"/>
    </row>
    <row r="109" spans="1:39">
      <c r="A109" s="541" t="s">
        <v>6</v>
      </c>
      <c r="B109" s="511"/>
      <c r="C109" s="312">
        <v>63.13</v>
      </c>
      <c r="D109" s="300"/>
      <c r="E109" s="312">
        <v>39.71</v>
      </c>
      <c r="F109" s="300"/>
      <c r="G109" s="312"/>
      <c r="H109" s="300"/>
      <c r="I109" s="312"/>
      <c r="J109" s="300"/>
      <c r="K109" s="312"/>
      <c r="L109" s="446"/>
      <c r="M109" s="447"/>
      <c r="N109" s="446"/>
      <c r="O109" s="447"/>
      <c r="P109" s="446"/>
      <c r="Q109" s="447"/>
      <c r="R109" s="446"/>
      <c r="S109" s="447"/>
      <c r="T109" s="446"/>
      <c r="U109" s="447"/>
      <c r="V109" s="446"/>
      <c r="W109" s="447"/>
      <c r="X109" s="446"/>
      <c r="Y109" s="447"/>
      <c r="Z109" s="446"/>
      <c r="AA109" s="447"/>
      <c r="AB109" s="446"/>
      <c r="AC109" s="447"/>
      <c r="AD109" s="446"/>
      <c r="AE109" s="447"/>
    </row>
    <row r="110" spans="1:39">
      <c r="A110" s="540" t="s">
        <v>357</v>
      </c>
      <c r="B110" s="511"/>
      <c r="C110" s="312">
        <v>63.13</v>
      </c>
      <c r="D110" s="300"/>
      <c r="E110" s="471">
        <v>39.71</v>
      </c>
      <c r="F110" s="300"/>
      <c r="G110" s="312"/>
      <c r="H110" s="300"/>
      <c r="I110" s="312"/>
      <c r="J110" s="300"/>
      <c r="K110" s="312"/>
      <c r="L110" s="446"/>
      <c r="M110" s="447"/>
      <c r="N110" s="446"/>
      <c r="O110" s="447"/>
      <c r="P110" s="446"/>
      <c r="Q110" s="447"/>
      <c r="R110" s="446"/>
      <c r="S110" s="447"/>
      <c r="T110" s="446"/>
      <c r="U110" s="447"/>
      <c r="V110" s="446"/>
      <c r="W110" s="447"/>
      <c r="X110" s="446"/>
      <c r="Y110" s="447"/>
      <c r="Z110" s="446"/>
      <c r="AA110" s="447"/>
      <c r="AB110" s="446"/>
      <c r="AC110" s="447"/>
      <c r="AD110" s="446"/>
      <c r="AE110" s="447"/>
      <c r="AI110" s="117"/>
      <c r="AJ110" s="117"/>
      <c r="AK110" s="117"/>
      <c r="AL110" s="117"/>
      <c r="AM110" s="117"/>
    </row>
    <row r="111" spans="1:39">
      <c r="A111" s="540" t="s">
        <v>346</v>
      </c>
      <c r="B111" s="511"/>
      <c r="C111" s="312">
        <v>63.13</v>
      </c>
      <c r="D111" s="300"/>
      <c r="E111" s="471">
        <v>39.71</v>
      </c>
      <c r="F111" s="300"/>
      <c r="G111" s="312"/>
      <c r="H111" s="300"/>
      <c r="I111" s="312"/>
      <c r="J111" s="300"/>
      <c r="K111" s="312"/>
      <c r="L111" s="446"/>
      <c r="M111" s="447"/>
      <c r="N111" s="446"/>
      <c r="O111" s="447"/>
      <c r="P111" s="446"/>
      <c r="Q111" s="447"/>
      <c r="R111" s="446"/>
      <c r="S111" s="447"/>
      <c r="T111" s="446"/>
      <c r="U111" s="447"/>
      <c r="V111" s="446"/>
      <c r="W111" s="447"/>
      <c r="X111" s="446"/>
      <c r="Y111" s="447"/>
      <c r="Z111" s="446"/>
      <c r="AA111" s="447"/>
      <c r="AB111" s="446"/>
      <c r="AC111" s="447"/>
      <c r="AD111" s="446"/>
      <c r="AE111" s="447"/>
      <c r="AI111" s="117"/>
      <c r="AJ111" s="117"/>
      <c r="AK111" s="117"/>
      <c r="AL111" s="117"/>
      <c r="AM111" s="117"/>
    </row>
    <row r="112" spans="1:39">
      <c r="A112" s="540" t="s">
        <v>66</v>
      </c>
      <c r="B112" s="511"/>
      <c r="C112" s="312">
        <v>63.13</v>
      </c>
      <c r="D112" s="300"/>
      <c r="E112" s="471">
        <v>39.71</v>
      </c>
      <c r="F112" s="300"/>
      <c r="G112" s="312"/>
      <c r="H112" s="300"/>
      <c r="I112" s="312"/>
      <c r="J112" s="300"/>
      <c r="K112" s="312"/>
      <c r="L112" s="446"/>
      <c r="M112" s="447"/>
      <c r="N112" s="446"/>
      <c r="O112" s="447"/>
      <c r="P112" s="446"/>
      <c r="Q112" s="447"/>
      <c r="R112" s="446"/>
      <c r="S112" s="447"/>
      <c r="T112" s="446"/>
      <c r="U112" s="447"/>
      <c r="V112" s="446"/>
      <c r="W112" s="447"/>
      <c r="X112" s="446"/>
      <c r="Y112" s="447"/>
      <c r="Z112" s="446"/>
      <c r="AA112" s="447"/>
      <c r="AB112" s="446"/>
      <c r="AC112" s="447"/>
      <c r="AD112" s="446"/>
      <c r="AE112" s="447"/>
      <c r="AI112" s="117"/>
      <c r="AJ112" s="117"/>
      <c r="AK112" s="117"/>
      <c r="AL112" s="117"/>
      <c r="AM112" s="117"/>
    </row>
    <row r="113" spans="1:45">
      <c r="A113" s="541" t="s">
        <v>12</v>
      </c>
      <c r="B113" s="511"/>
      <c r="C113" s="312">
        <v>63.13</v>
      </c>
      <c r="D113" s="300"/>
      <c r="E113" s="471">
        <v>39.71</v>
      </c>
      <c r="F113" s="300"/>
      <c r="G113" s="312"/>
      <c r="H113" s="300"/>
      <c r="I113" s="312"/>
      <c r="J113" s="300"/>
      <c r="K113" s="312"/>
      <c r="L113" s="446"/>
      <c r="M113" s="447"/>
      <c r="N113" s="446"/>
      <c r="O113" s="447"/>
      <c r="P113" s="446"/>
      <c r="Q113" s="447"/>
      <c r="R113" s="446"/>
      <c r="S113" s="447"/>
      <c r="T113" s="446"/>
      <c r="U113" s="447"/>
      <c r="V113" s="446"/>
      <c r="W113" s="447"/>
      <c r="X113" s="446"/>
      <c r="Y113" s="447"/>
      <c r="Z113" s="446"/>
      <c r="AA113" s="447"/>
      <c r="AB113" s="446"/>
      <c r="AC113" s="447"/>
      <c r="AD113" s="446"/>
      <c r="AE113" s="447"/>
    </row>
    <row r="114" spans="1:45" ht="12.75" customHeight="1">
      <c r="A114" s="541" t="s">
        <v>67</v>
      </c>
      <c r="B114" s="511"/>
      <c r="C114" s="312">
        <v>63.86</v>
      </c>
      <c r="D114" s="300"/>
      <c r="E114" s="471">
        <v>40.409999999999997</v>
      </c>
      <c r="F114" s="300"/>
      <c r="G114" s="312"/>
      <c r="H114" s="300"/>
      <c r="I114" s="312"/>
      <c r="J114" s="300"/>
      <c r="K114" s="312"/>
      <c r="L114" s="446"/>
      <c r="M114" s="447"/>
      <c r="N114" s="446"/>
      <c r="O114" s="447"/>
      <c r="P114" s="446"/>
      <c r="Q114" s="447"/>
      <c r="R114" s="446"/>
      <c r="S114" s="447"/>
      <c r="T114" s="446"/>
      <c r="U114" s="447"/>
      <c r="V114" s="446"/>
      <c r="W114" s="447"/>
      <c r="X114" s="446"/>
      <c r="Y114" s="447"/>
      <c r="Z114" s="446"/>
      <c r="AA114" s="447"/>
      <c r="AB114" s="446"/>
      <c r="AC114" s="447"/>
      <c r="AD114" s="446"/>
      <c r="AE114" s="447"/>
    </row>
    <row r="115" spans="1:45" s="117" customFormat="1" ht="12.75" customHeight="1">
      <c r="A115" s="541" t="s">
        <v>347</v>
      </c>
      <c r="B115" s="511"/>
      <c r="C115" s="312">
        <v>63.86</v>
      </c>
      <c r="D115" s="300"/>
      <c r="E115" s="471">
        <v>40.409999999999997</v>
      </c>
      <c r="F115" s="300"/>
      <c r="G115" s="312"/>
      <c r="H115" s="300"/>
      <c r="I115" s="312"/>
      <c r="J115" s="300"/>
      <c r="K115" s="312"/>
      <c r="L115" s="446"/>
      <c r="M115" s="447"/>
      <c r="N115" s="446"/>
      <c r="O115" s="447"/>
      <c r="P115" s="446"/>
      <c r="Q115" s="447"/>
      <c r="R115" s="446"/>
      <c r="S115" s="447"/>
      <c r="T115" s="446"/>
      <c r="U115" s="447"/>
      <c r="V115" s="446"/>
      <c r="W115" s="447"/>
      <c r="X115" s="446"/>
      <c r="Y115" s="447"/>
      <c r="Z115" s="446"/>
      <c r="AA115" s="447"/>
      <c r="AB115" s="446"/>
      <c r="AC115" s="447"/>
      <c r="AD115" s="446"/>
      <c r="AE115" s="447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</row>
    <row r="116" spans="1:45" s="117" customFormat="1" ht="13.5" customHeight="1">
      <c r="A116" s="541" t="s">
        <v>13</v>
      </c>
      <c r="B116" s="511"/>
      <c r="C116" s="312">
        <v>63.86</v>
      </c>
      <c r="D116" s="300"/>
      <c r="E116" s="471">
        <v>40.409999999999997</v>
      </c>
      <c r="F116" s="300"/>
      <c r="G116" s="312"/>
      <c r="H116" s="300"/>
      <c r="I116" s="312"/>
      <c r="J116" s="300"/>
      <c r="K116" s="312"/>
      <c r="L116" s="446"/>
      <c r="M116" s="447"/>
      <c r="N116" s="446"/>
      <c r="O116" s="447"/>
      <c r="P116" s="446"/>
      <c r="Q116" s="447"/>
      <c r="R116" s="446"/>
      <c r="S116" s="447"/>
      <c r="T116" s="446"/>
      <c r="U116" s="447"/>
      <c r="V116" s="446"/>
      <c r="W116" s="447"/>
      <c r="X116" s="446"/>
      <c r="Y116" s="447"/>
      <c r="Z116" s="446"/>
      <c r="AA116" s="447"/>
      <c r="AB116" s="446"/>
      <c r="AC116" s="447"/>
      <c r="AD116" s="446"/>
      <c r="AE116" s="447"/>
      <c r="AH116" s="109"/>
      <c r="AI116" s="109"/>
      <c r="AJ116" s="109"/>
      <c r="AK116" s="109"/>
      <c r="AL116" s="109"/>
      <c r="AM116" s="109"/>
    </row>
    <row r="117" spans="1:45" s="117" customFormat="1" ht="13.5" customHeight="1">
      <c r="A117" s="575" t="s">
        <v>382</v>
      </c>
      <c r="B117" s="511"/>
      <c r="C117" s="312">
        <v>63.86</v>
      </c>
      <c r="D117" s="300"/>
      <c r="E117" s="471">
        <v>40.409999999999997</v>
      </c>
      <c r="F117" s="300"/>
      <c r="G117" s="312"/>
      <c r="H117" s="300"/>
      <c r="I117" s="312"/>
      <c r="J117" s="300"/>
      <c r="K117" s="312"/>
      <c r="L117" s="446"/>
      <c r="M117" s="447"/>
      <c r="N117" s="446"/>
      <c r="O117" s="447"/>
      <c r="P117" s="446"/>
      <c r="Q117" s="447"/>
      <c r="R117" s="446"/>
      <c r="S117" s="447"/>
      <c r="T117" s="446"/>
      <c r="U117" s="447"/>
      <c r="V117" s="446"/>
      <c r="W117" s="447"/>
      <c r="X117" s="446"/>
      <c r="Y117" s="447"/>
      <c r="Z117" s="446"/>
      <c r="AA117" s="447"/>
      <c r="AB117" s="446"/>
      <c r="AC117" s="447"/>
      <c r="AD117" s="446"/>
      <c r="AE117" s="447"/>
      <c r="AH117" s="109"/>
      <c r="AI117" s="109"/>
      <c r="AJ117" s="109"/>
      <c r="AK117" s="109"/>
      <c r="AL117" s="109"/>
      <c r="AM117" s="109"/>
    </row>
    <row r="118" spans="1:45">
      <c r="A118" s="540" t="s">
        <v>76</v>
      </c>
      <c r="B118" s="511"/>
      <c r="C118" s="312">
        <v>63.86</v>
      </c>
      <c r="D118" s="300"/>
      <c r="E118" s="471">
        <v>40.409999999999997</v>
      </c>
      <c r="F118" s="300"/>
      <c r="G118" s="312"/>
      <c r="H118" s="300"/>
      <c r="I118" s="312"/>
      <c r="J118" s="300"/>
      <c r="K118" s="312"/>
      <c r="L118" s="446"/>
      <c r="M118" s="447"/>
      <c r="N118" s="446"/>
      <c r="O118" s="447"/>
      <c r="P118" s="446"/>
      <c r="Q118" s="447"/>
      <c r="R118" s="446"/>
      <c r="S118" s="447"/>
      <c r="T118" s="446"/>
      <c r="U118" s="447"/>
      <c r="V118" s="446"/>
      <c r="W118" s="447"/>
      <c r="X118" s="446"/>
      <c r="Y118" s="447"/>
      <c r="Z118" s="446"/>
      <c r="AA118" s="447"/>
      <c r="AB118" s="446"/>
      <c r="AC118" s="447"/>
      <c r="AD118" s="446"/>
      <c r="AE118" s="447"/>
      <c r="AF118" s="117"/>
      <c r="AG118" s="117"/>
      <c r="AN118" s="117"/>
      <c r="AO118" s="117"/>
      <c r="AP118" s="117"/>
      <c r="AQ118" s="117"/>
      <c r="AR118" s="117"/>
      <c r="AS118" s="117"/>
    </row>
    <row r="119" spans="1:45">
      <c r="A119" s="540" t="s">
        <v>77</v>
      </c>
      <c r="B119" s="511"/>
      <c r="C119" s="312">
        <v>63.86</v>
      </c>
      <c r="D119" s="300"/>
      <c r="E119" s="471">
        <v>40.409999999999997</v>
      </c>
      <c r="F119" s="300"/>
      <c r="G119" s="312"/>
      <c r="H119" s="300"/>
      <c r="I119" s="312"/>
      <c r="J119" s="300"/>
      <c r="K119" s="312"/>
      <c r="L119" s="446"/>
      <c r="M119" s="447"/>
      <c r="N119" s="446"/>
      <c r="O119" s="447"/>
      <c r="P119" s="446"/>
      <c r="Q119" s="447"/>
      <c r="R119" s="446"/>
      <c r="S119" s="447"/>
      <c r="T119" s="446"/>
      <c r="U119" s="447"/>
      <c r="V119" s="446"/>
      <c r="W119" s="447"/>
      <c r="X119" s="446"/>
      <c r="Y119" s="447"/>
      <c r="Z119" s="446"/>
      <c r="AA119" s="447"/>
      <c r="AB119" s="446"/>
      <c r="AC119" s="447"/>
      <c r="AD119" s="446"/>
      <c r="AE119" s="447"/>
    </row>
    <row r="120" spans="1:45">
      <c r="A120" s="540" t="s">
        <v>348</v>
      </c>
      <c r="B120" s="511"/>
      <c r="C120" s="312">
        <v>63.86</v>
      </c>
      <c r="D120" s="300"/>
      <c r="E120" s="471">
        <v>40.409999999999997</v>
      </c>
      <c r="F120" s="300"/>
      <c r="G120" s="312"/>
      <c r="H120" s="300"/>
      <c r="I120" s="312"/>
      <c r="J120" s="300"/>
      <c r="K120" s="312"/>
      <c r="L120" s="446"/>
      <c r="M120" s="447"/>
      <c r="N120" s="446"/>
      <c r="O120" s="447"/>
      <c r="P120" s="446"/>
      <c r="Q120" s="447"/>
      <c r="R120" s="446"/>
      <c r="S120" s="447"/>
      <c r="T120" s="446"/>
      <c r="U120" s="447"/>
      <c r="V120" s="446"/>
      <c r="W120" s="447"/>
      <c r="X120" s="446"/>
      <c r="Y120" s="447"/>
      <c r="Z120" s="446"/>
      <c r="AA120" s="447"/>
      <c r="AB120" s="446"/>
      <c r="AC120" s="447"/>
      <c r="AD120" s="446"/>
      <c r="AE120" s="447"/>
    </row>
    <row r="121" spans="1:45">
      <c r="A121" s="540" t="s">
        <v>349</v>
      </c>
      <c r="B121" s="511"/>
      <c r="C121" s="312">
        <v>63.86</v>
      </c>
      <c r="D121" s="300"/>
      <c r="E121" s="471">
        <v>40.409999999999997</v>
      </c>
      <c r="F121" s="300"/>
      <c r="G121" s="312"/>
      <c r="H121" s="300"/>
      <c r="I121" s="312"/>
      <c r="J121" s="300"/>
      <c r="K121" s="312"/>
      <c r="L121" s="446"/>
      <c r="M121" s="447"/>
      <c r="N121" s="446"/>
      <c r="O121" s="447"/>
      <c r="P121" s="446"/>
      <c r="Q121" s="447"/>
      <c r="R121" s="446"/>
      <c r="S121" s="447"/>
      <c r="T121" s="446"/>
      <c r="U121" s="447"/>
      <c r="V121" s="446"/>
      <c r="W121" s="447"/>
      <c r="X121" s="446"/>
      <c r="Y121" s="447"/>
      <c r="Z121" s="446"/>
      <c r="AA121" s="447"/>
      <c r="AB121" s="446"/>
      <c r="AC121" s="447"/>
      <c r="AD121" s="446"/>
      <c r="AE121" s="447"/>
    </row>
    <row r="122" spans="1:45" ht="13.5" thickBot="1">
      <c r="A122" s="540" t="s">
        <v>78</v>
      </c>
      <c r="B122" s="511"/>
      <c r="C122" s="312">
        <v>63.13</v>
      </c>
      <c r="D122" s="300"/>
      <c r="E122" s="471">
        <v>39.71</v>
      </c>
      <c r="F122" s="300"/>
      <c r="G122" s="312"/>
      <c r="H122" s="300"/>
      <c r="I122" s="312"/>
      <c r="J122" s="300"/>
      <c r="K122" s="312"/>
      <c r="L122" s="446"/>
      <c r="M122" s="447"/>
      <c r="N122" s="446"/>
      <c r="O122" s="447"/>
      <c r="P122" s="446"/>
      <c r="Q122" s="447"/>
      <c r="R122" s="446"/>
      <c r="S122" s="447"/>
      <c r="T122" s="446"/>
      <c r="U122" s="447"/>
      <c r="V122" s="446"/>
      <c r="W122" s="447"/>
      <c r="X122" s="446"/>
      <c r="Y122" s="447"/>
      <c r="Z122" s="446"/>
      <c r="AA122" s="447"/>
      <c r="AB122" s="446"/>
      <c r="AC122" s="447"/>
      <c r="AD122" s="446"/>
      <c r="AE122" s="447"/>
    </row>
    <row r="123" spans="1:45" ht="16.5" thickBot="1">
      <c r="A123" s="410" t="s">
        <v>154</v>
      </c>
      <c r="B123" s="492"/>
      <c r="C123" s="108"/>
      <c r="D123" s="145"/>
      <c r="E123" s="108"/>
      <c r="F123" s="145"/>
      <c r="G123" s="108"/>
      <c r="H123" s="145"/>
      <c r="I123" s="108"/>
      <c r="J123" s="145"/>
      <c r="K123" s="108"/>
      <c r="L123" s="145"/>
      <c r="M123" s="108"/>
      <c r="N123" s="145"/>
      <c r="O123" s="108"/>
      <c r="P123" s="145"/>
      <c r="Q123" s="108"/>
      <c r="R123" s="145"/>
      <c r="S123" s="108"/>
      <c r="T123" s="145"/>
      <c r="U123" s="108"/>
      <c r="V123" s="145"/>
      <c r="W123" s="108"/>
      <c r="X123" s="145"/>
      <c r="Y123" s="108"/>
      <c r="Z123" s="145"/>
      <c r="AA123" s="108"/>
      <c r="AB123" s="145"/>
      <c r="AC123" s="108"/>
      <c r="AD123" s="145"/>
      <c r="AE123" s="108"/>
    </row>
    <row r="124" spans="1:45" ht="13.5" thickBot="1">
      <c r="A124" s="535" t="s">
        <v>160</v>
      </c>
      <c r="B124" s="499"/>
      <c r="C124" s="304">
        <v>0</v>
      </c>
      <c r="D124" s="147"/>
      <c r="E124" s="304">
        <v>0</v>
      </c>
      <c r="F124" s="147"/>
      <c r="G124" s="304">
        <v>0</v>
      </c>
      <c r="H124" s="147"/>
      <c r="I124" s="304">
        <v>0</v>
      </c>
      <c r="J124" s="147"/>
      <c r="K124" s="304">
        <v>0</v>
      </c>
      <c r="L124" s="147"/>
      <c r="M124" s="438"/>
      <c r="N124" s="147"/>
      <c r="O124" s="438"/>
      <c r="P124" s="147"/>
      <c r="Q124" s="438"/>
      <c r="R124" s="147"/>
      <c r="S124" s="438"/>
      <c r="T124" s="147"/>
      <c r="U124" s="438"/>
      <c r="V124" s="147"/>
      <c r="W124" s="438"/>
      <c r="X124" s="147"/>
      <c r="Y124" s="438"/>
      <c r="Z124" s="147"/>
      <c r="AA124" s="438"/>
      <c r="AB124" s="147"/>
      <c r="AC124" s="438"/>
      <c r="AD124" s="147"/>
      <c r="AE124" s="438"/>
    </row>
    <row r="125" spans="1:45" ht="19.5" thickBot="1">
      <c r="A125" s="410" t="s">
        <v>18</v>
      </c>
      <c r="B125" s="492"/>
      <c r="C125" s="108"/>
      <c r="D125" s="145"/>
      <c r="E125" s="108"/>
      <c r="F125" s="145"/>
      <c r="G125" s="108"/>
      <c r="H125" s="145"/>
      <c r="I125" s="108"/>
      <c r="J125" s="145"/>
      <c r="K125" s="108"/>
      <c r="L125" s="145"/>
      <c r="M125" s="108"/>
      <c r="N125" s="145"/>
      <c r="O125" s="108"/>
      <c r="P125" s="145"/>
      <c r="Q125" s="108"/>
      <c r="R125" s="145"/>
      <c r="S125" s="108"/>
      <c r="T125" s="145"/>
      <c r="U125" s="108"/>
      <c r="V125" s="145"/>
      <c r="W125" s="108"/>
      <c r="X125" s="145"/>
      <c r="Y125" s="108"/>
      <c r="Z125" s="145"/>
      <c r="AA125" s="108"/>
      <c r="AB125" s="145"/>
      <c r="AC125" s="108"/>
      <c r="AD125" s="145"/>
      <c r="AE125" s="108"/>
    </row>
    <row r="126" spans="1:45">
      <c r="A126" s="542" t="s">
        <v>176</v>
      </c>
      <c r="B126" s="504" t="s">
        <v>353</v>
      </c>
      <c r="C126" s="467">
        <v>0</v>
      </c>
      <c r="D126" s="466" t="s">
        <v>353</v>
      </c>
      <c r="E126" s="467">
        <v>0</v>
      </c>
      <c r="F126" s="466" t="s">
        <v>353</v>
      </c>
      <c r="G126" s="467">
        <v>0</v>
      </c>
      <c r="H126" s="466" t="s">
        <v>353</v>
      </c>
      <c r="I126" s="467">
        <v>0</v>
      </c>
      <c r="J126" s="466" t="s">
        <v>353</v>
      </c>
      <c r="K126" s="467">
        <v>0</v>
      </c>
      <c r="L126" s="439"/>
      <c r="M126" s="438"/>
      <c r="N126" s="439"/>
      <c r="O126" s="438"/>
      <c r="P126" s="439"/>
      <c r="Q126" s="438"/>
      <c r="R126" s="439"/>
      <c r="S126" s="438"/>
      <c r="T126" s="439"/>
      <c r="U126" s="438"/>
      <c r="V126" s="439"/>
      <c r="W126" s="438"/>
      <c r="X126" s="439"/>
      <c r="Y126" s="438"/>
      <c r="Z126" s="439"/>
      <c r="AA126" s="438"/>
      <c r="AB126" s="439"/>
      <c r="AC126" s="438"/>
      <c r="AD126" s="439"/>
      <c r="AE126" s="438"/>
    </row>
    <row r="127" spans="1:45">
      <c r="A127" s="543" t="s">
        <v>177</v>
      </c>
      <c r="B127" s="504" t="s">
        <v>411</v>
      </c>
      <c r="C127" s="467">
        <v>12</v>
      </c>
      <c r="D127" s="466" t="s">
        <v>411</v>
      </c>
      <c r="E127" s="467">
        <v>10.5</v>
      </c>
      <c r="F127" s="466"/>
      <c r="G127" s="467"/>
      <c r="H127" s="466"/>
      <c r="I127" s="467"/>
      <c r="J127" s="466"/>
      <c r="K127" s="467"/>
      <c r="L127" s="308"/>
      <c r="M127" s="309"/>
      <c r="N127" s="308"/>
      <c r="O127" s="309"/>
      <c r="P127" s="308"/>
      <c r="Q127" s="309"/>
      <c r="R127" s="308"/>
      <c r="S127" s="309"/>
      <c r="T127" s="308"/>
      <c r="U127" s="309"/>
      <c r="V127" s="308"/>
      <c r="W127" s="309"/>
      <c r="X127" s="308"/>
      <c r="Y127" s="309"/>
      <c r="Z127" s="308"/>
      <c r="AA127" s="309"/>
      <c r="AB127" s="308"/>
      <c r="AC127" s="309"/>
      <c r="AD127" s="308"/>
      <c r="AE127" s="309"/>
    </row>
    <row r="128" spans="1:45">
      <c r="A128" s="543" t="s">
        <v>178</v>
      </c>
      <c r="B128" s="505"/>
      <c r="C128" s="307"/>
      <c r="D128" s="306"/>
      <c r="E128" s="307"/>
      <c r="F128" s="306"/>
      <c r="G128" s="307"/>
      <c r="H128" s="306"/>
      <c r="I128" s="307"/>
      <c r="J128" s="308"/>
      <c r="K128" s="309"/>
      <c r="L128" s="308"/>
      <c r="M128" s="309"/>
      <c r="N128" s="308"/>
      <c r="O128" s="309"/>
      <c r="P128" s="308"/>
      <c r="Q128" s="309"/>
      <c r="R128" s="308"/>
      <c r="S128" s="309"/>
      <c r="T128" s="308"/>
      <c r="U128" s="309"/>
      <c r="V128" s="308"/>
      <c r="W128" s="309"/>
      <c r="X128" s="308"/>
      <c r="Y128" s="309"/>
      <c r="Z128" s="308"/>
      <c r="AA128" s="309"/>
      <c r="AB128" s="308"/>
      <c r="AC128" s="309"/>
      <c r="AD128" s="308"/>
      <c r="AE128" s="309"/>
    </row>
    <row r="129" spans="1:45">
      <c r="A129" s="543" t="s">
        <v>179</v>
      </c>
      <c r="B129" s="505"/>
      <c r="C129" s="307"/>
      <c r="D129" s="306"/>
      <c r="E129" s="307"/>
      <c r="F129" s="306"/>
      <c r="G129" s="307"/>
      <c r="H129" s="306"/>
      <c r="I129" s="307"/>
      <c r="J129" s="308"/>
      <c r="K129" s="309"/>
      <c r="L129" s="308"/>
      <c r="M129" s="309"/>
      <c r="N129" s="308"/>
      <c r="O129" s="309"/>
      <c r="P129" s="308"/>
      <c r="Q129" s="309"/>
      <c r="R129" s="308"/>
      <c r="S129" s="309"/>
      <c r="T129" s="308"/>
      <c r="U129" s="309"/>
      <c r="V129" s="308"/>
      <c r="W129" s="309"/>
      <c r="X129" s="308"/>
      <c r="Y129" s="309"/>
      <c r="Z129" s="308"/>
      <c r="AA129" s="309"/>
      <c r="AB129" s="308"/>
      <c r="AC129" s="309"/>
      <c r="AD129" s="308"/>
      <c r="AE129" s="309"/>
    </row>
    <row r="130" spans="1:45">
      <c r="A130" s="543" t="s">
        <v>206</v>
      </c>
      <c r="B130" s="505"/>
      <c r="C130" s="307"/>
      <c r="D130" s="306"/>
      <c r="E130" s="307"/>
      <c r="F130" s="306"/>
      <c r="G130" s="307"/>
      <c r="H130" s="306"/>
      <c r="I130" s="307"/>
      <c r="J130" s="308"/>
      <c r="K130" s="309"/>
      <c r="L130" s="308"/>
      <c r="M130" s="309"/>
      <c r="N130" s="308"/>
      <c r="O130" s="309"/>
      <c r="P130" s="308"/>
      <c r="Q130" s="309"/>
      <c r="R130" s="308"/>
      <c r="S130" s="309"/>
      <c r="T130" s="308"/>
      <c r="U130" s="309"/>
      <c r="V130" s="308"/>
      <c r="W130" s="309"/>
      <c r="X130" s="308"/>
      <c r="Y130" s="309"/>
      <c r="Z130" s="308"/>
      <c r="AA130" s="309"/>
      <c r="AB130" s="308"/>
      <c r="AC130" s="309"/>
      <c r="AD130" s="308"/>
      <c r="AE130" s="309"/>
    </row>
    <row r="131" spans="1:45">
      <c r="A131" s="543" t="s">
        <v>207</v>
      </c>
      <c r="B131" s="505"/>
      <c r="C131" s="307"/>
      <c r="D131" s="306"/>
      <c r="E131" s="307"/>
      <c r="F131" s="306"/>
      <c r="G131" s="307"/>
      <c r="H131" s="306"/>
      <c r="I131" s="307"/>
      <c r="J131" s="308"/>
      <c r="K131" s="309"/>
      <c r="L131" s="308"/>
      <c r="M131" s="309"/>
      <c r="N131" s="308"/>
      <c r="O131" s="309"/>
      <c r="P131" s="308"/>
      <c r="Q131" s="309"/>
      <c r="R131" s="308"/>
      <c r="S131" s="309"/>
      <c r="T131" s="308"/>
      <c r="U131" s="309"/>
      <c r="V131" s="308"/>
      <c r="W131" s="309"/>
      <c r="X131" s="308"/>
      <c r="Y131" s="309"/>
      <c r="Z131" s="308"/>
      <c r="AA131" s="309"/>
      <c r="AB131" s="308"/>
      <c r="AC131" s="309"/>
      <c r="AD131" s="308"/>
      <c r="AE131" s="309"/>
      <c r="AI131" s="117"/>
      <c r="AJ131" s="117"/>
      <c r="AK131" s="117"/>
      <c r="AL131" s="117"/>
    </row>
    <row r="132" spans="1:45" ht="13.5" thickBot="1">
      <c r="A132" s="544" t="s">
        <v>208</v>
      </c>
      <c r="B132" s="512"/>
      <c r="C132" s="315"/>
      <c r="D132" s="314"/>
      <c r="E132" s="315"/>
      <c r="F132" s="314"/>
      <c r="G132" s="315"/>
      <c r="H132" s="314"/>
      <c r="I132" s="315"/>
      <c r="J132" s="310"/>
      <c r="K132" s="311"/>
      <c r="L132" s="310"/>
      <c r="M132" s="311"/>
      <c r="N132" s="310"/>
      <c r="O132" s="311"/>
      <c r="P132" s="310"/>
      <c r="Q132" s="311"/>
      <c r="R132" s="310"/>
      <c r="S132" s="311"/>
      <c r="T132" s="310"/>
      <c r="U132" s="311"/>
      <c r="V132" s="310"/>
      <c r="W132" s="311"/>
      <c r="X132" s="310"/>
      <c r="Y132" s="311"/>
      <c r="Z132" s="310"/>
      <c r="AA132" s="311"/>
      <c r="AB132" s="310"/>
      <c r="AC132" s="311"/>
      <c r="AD132" s="310"/>
      <c r="AE132" s="311"/>
      <c r="AI132" s="117"/>
      <c r="AJ132" s="117"/>
      <c r="AK132" s="117"/>
      <c r="AL132" s="117"/>
      <c r="AM132" s="117"/>
    </row>
    <row r="133" spans="1:45" ht="15">
      <c r="A133" s="537"/>
      <c r="B133" s="508"/>
      <c r="C133" s="441"/>
      <c r="D133" s="440"/>
      <c r="E133" s="441"/>
      <c r="F133" s="440"/>
      <c r="G133" s="441"/>
      <c r="H133" s="440"/>
      <c r="I133" s="441"/>
      <c r="J133" s="440"/>
      <c r="K133" s="441"/>
      <c r="L133" s="440"/>
      <c r="M133" s="441"/>
      <c r="N133" s="440"/>
      <c r="O133" s="441"/>
      <c r="P133" s="440"/>
      <c r="Q133" s="441"/>
      <c r="R133" s="440"/>
      <c r="S133" s="441"/>
      <c r="T133" s="440"/>
      <c r="U133" s="441"/>
      <c r="V133" s="440"/>
      <c r="W133" s="441"/>
      <c r="X133" s="440"/>
      <c r="Y133" s="441"/>
      <c r="Z133" s="440"/>
      <c r="AA133" s="441"/>
      <c r="AB133" s="440"/>
      <c r="AC133" s="441"/>
      <c r="AD133" s="440"/>
      <c r="AE133" s="441"/>
      <c r="AI133" s="117"/>
      <c r="AJ133" s="117"/>
      <c r="AK133" s="117"/>
      <c r="AL133" s="117"/>
      <c r="AM133" s="117"/>
    </row>
    <row r="134" spans="1:45">
      <c r="A134" s="538" t="s">
        <v>79</v>
      </c>
      <c r="B134" s="509"/>
      <c r="C134" s="443"/>
      <c r="D134" s="442"/>
      <c r="E134" s="443"/>
      <c r="F134" s="442"/>
      <c r="G134" s="443"/>
      <c r="H134" s="442"/>
      <c r="I134" s="443"/>
      <c r="J134" s="442"/>
      <c r="K134" s="443"/>
      <c r="L134" s="442"/>
      <c r="M134" s="443"/>
      <c r="N134" s="442"/>
      <c r="O134" s="443"/>
      <c r="P134" s="442"/>
      <c r="Q134" s="443"/>
      <c r="R134" s="442"/>
      <c r="S134" s="443"/>
      <c r="T134" s="442"/>
      <c r="U134" s="443"/>
      <c r="V134" s="442"/>
      <c r="W134" s="443"/>
      <c r="X134" s="442"/>
      <c r="Y134" s="443"/>
      <c r="Z134" s="442"/>
      <c r="AA134" s="443"/>
      <c r="AB134" s="442"/>
      <c r="AC134" s="443"/>
      <c r="AD134" s="442"/>
      <c r="AE134" s="443"/>
      <c r="AM134" s="117"/>
    </row>
    <row r="135" spans="1:45">
      <c r="A135" s="539" t="s">
        <v>19</v>
      </c>
      <c r="B135" s="620" t="s">
        <v>412</v>
      </c>
      <c r="C135" s="619"/>
      <c r="D135" s="618" t="s">
        <v>413</v>
      </c>
      <c r="E135" s="619" t="s">
        <v>414</v>
      </c>
      <c r="F135" s="618"/>
      <c r="G135" s="619"/>
      <c r="H135" s="618"/>
      <c r="I135" s="619"/>
      <c r="J135" s="618"/>
      <c r="K135" s="619"/>
      <c r="L135" s="612"/>
      <c r="M135" s="613"/>
      <c r="N135" s="612"/>
      <c r="O135" s="613"/>
      <c r="P135" s="612"/>
      <c r="Q135" s="613"/>
      <c r="R135" s="612"/>
      <c r="S135" s="613"/>
      <c r="T135" s="612"/>
      <c r="U135" s="613"/>
      <c r="V135" s="612"/>
      <c r="W135" s="613"/>
      <c r="X135" s="612"/>
      <c r="Y135" s="613"/>
      <c r="Z135" s="612"/>
      <c r="AA135" s="613"/>
      <c r="AB135" s="612"/>
      <c r="AC135" s="613"/>
      <c r="AD135" s="612"/>
      <c r="AE135" s="613"/>
    </row>
    <row r="136" spans="1:45" ht="13.5" thickBot="1">
      <c r="A136" s="539" t="s">
        <v>221</v>
      </c>
      <c r="B136" s="621" t="s">
        <v>415</v>
      </c>
      <c r="C136" s="615"/>
      <c r="D136" s="614" t="s">
        <v>413</v>
      </c>
      <c r="E136" s="615" t="s">
        <v>414</v>
      </c>
      <c r="F136" s="614"/>
      <c r="G136" s="615"/>
      <c r="H136" s="614"/>
      <c r="I136" s="615"/>
      <c r="J136" s="614"/>
      <c r="K136" s="615"/>
      <c r="L136" s="612"/>
      <c r="M136" s="613"/>
      <c r="N136" s="612"/>
      <c r="O136" s="613"/>
      <c r="P136" s="612"/>
      <c r="Q136" s="613"/>
      <c r="R136" s="612"/>
      <c r="S136" s="613"/>
      <c r="T136" s="612"/>
      <c r="U136" s="613"/>
      <c r="V136" s="612"/>
      <c r="W136" s="613"/>
      <c r="X136" s="612"/>
      <c r="Y136" s="613"/>
      <c r="Z136" s="612"/>
      <c r="AA136" s="613"/>
      <c r="AB136" s="612"/>
      <c r="AC136" s="613"/>
      <c r="AD136" s="612"/>
      <c r="AE136" s="613"/>
    </row>
    <row r="137" spans="1:45" ht="19.5" thickBot="1">
      <c r="A137" s="521" t="s">
        <v>20</v>
      </c>
      <c r="B137" s="113"/>
      <c r="C137" s="118"/>
      <c r="D137" s="144"/>
      <c r="E137" s="118"/>
      <c r="F137" s="144"/>
      <c r="G137" s="118"/>
      <c r="H137" s="144"/>
      <c r="I137" s="118"/>
      <c r="J137" s="144"/>
      <c r="K137" s="118"/>
      <c r="L137" s="144"/>
      <c r="M137" s="118"/>
      <c r="N137" s="144"/>
      <c r="O137" s="118"/>
      <c r="P137" s="144"/>
      <c r="Q137" s="118"/>
      <c r="R137" s="144"/>
      <c r="S137" s="118"/>
      <c r="T137" s="144"/>
      <c r="U137" s="118"/>
      <c r="V137" s="144"/>
      <c r="W137" s="118"/>
      <c r="X137" s="144"/>
      <c r="Y137" s="118"/>
      <c r="Z137" s="144"/>
      <c r="AA137" s="118"/>
      <c r="AB137" s="144"/>
      <c r="AC137" s="118"/>
      <c r="AD137" s="144"/>
      <c r="AE137" s="118"/>
    </row>
    <row r="138" spans="1:45" s="117" customFormat="1" ht="12.75" customHeight="1">
      <c r="A138" s="535" t="s">
        <v>149</v>
      </c>
      <c r="B138" s="493"/>
      <c r="C138" s="312">
        <v>61.66</v>
      </c>
      <c r="D138" s="300"/>
      <c r="E138" s="312">
        <v>38.29</v>
      </c>
      <c r="F138" s="300"/>
      <c r="G138" s="312"/>
      <c r="H138" s="300"/>
      <c r="I138" s="312"/>
      <c r="J138" s="300"/>
      <c r="K138" s="312"/>
      <c r="L138" s="429"/>
      <c r="M138" s="428"/>
      <c r="N138" s="429"/>
      <c r="O138" s="428"/>
      <c r="P138" s="429"/>
      <c r="Q138" s="428"/>
      <c r="R138" s="429"/>
      <c r="S138" s="428"/>
      <c r="T138" s="429"/>
      <c r="U138" s="428"/>
      <c r="V138" s="429"/>
      <c r="W138" s="428"/>
      <c r="X138" s="429"/>
      <c r="Y138" s="428"/>
      <c r="Z138" s="429"/>
      <c r="AA138" s="428"/>
      <c r="AB138" s="429"/>
      <c r="AC138" s="428"/>
      <c r="AD138" s="429"/>
      <c r="AE138" s="428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</row>
    <row r="139" spans="1:45" s="117" customFormat="1" ht="12.75" customHeight="1">
      <c r="A139" s="535" t="s">
        <v>166</v>
      </c>
      <c r="B139" s="497"/>
      <c r="C139" s="312">
        <v>63.86</v>
      </c>
      <c r="D139" s="300"/>
      <c r="E139" s="312">
        <v>40.409999999999997</v>
      </c>
      <c r="F139" s="300"/>
      <c r="G139" s="312"/>
      <c r="H139" s="300"/>
      <c r="I139" s="312"/>
      <c r="J139" s="300"/>
      <c r="K139" s="312"/>
      <c r="L139" s="432"/>
      <c r="M139" s="428"/>
      <c r="N139" s="432"/>
      <c r="O139" s="428"/>
      <c r="P139" s="432"/>
      <c r="Q139" s="428"/>
      <c r="R139" s="432"/>
      <c r="S139" s="428"/>
      <c r="T139" s="432"/>
      <c r="U139" s="428"/>
      <c r="V139" s="432"/>
      <c r="W139" s="428"/>
      <c r="X139" s="432"/>
      <c r="Y139" s="428"/>
      <c r="Z139" s="432"/>
      <c r="AA139" s="428"/>
      <c r="AB139" s="432"/>
      <c r="AC139" s="428"/>
      <c r="AD139" s="432"/>
      <c r="AE139" s="428"/>
      <c r="AG139" s="109"/>
      <c r="AH139" s="109"/>
      <c r="AI139" s="109"/>
      <c r="AJ139" s="109"/>
      <c r="AK139" s="109"/>
      <c r="AL139" s="109"/>
      <c r="AM139" s="109"/>
    </row>
    <row r="140" spans="1:45" s="117" customFormat="1">
      <c r="A140" s="536" t="s">
        <v>150</v>
      </c>
      <c r="B140" s="495"/>
      <c r="C140" s="312">
        <v>61.66</v>
      </c>
      <c r="D140" s="300"/>
      <c r="E140" s="312">
        <v>38.29</v>
      </c>
      <c r="F140" s="300"/>
      <c r="G140" s="312"/>
      <c r="H140" s="300"/>
      <c r="I140" s="312"/>
      <c r="J140" s="300"/>
      <c r="K140" s="312"/>
      <c r="L140" s="431"/>
      <c r="M140" s="309"/>
      <c r="N140" s="431"/>
      <c r="O140" s="309"/>
      <c r="P140" s="431"/>
      <c r="Q140" s="309"/>
      <c r="R140" s="431"/>
      <c r="S140" s="309"/>
      <c r="T140" s="431"/>
      <c r="U140" s="309"/>
      <c r="V140" s="431"/>
      <c r="W140" s="309"/>
      <c r="X140" s="431"/>
      <c r="Y140" s="309"/>
      <c r="Z140" s="431"/>
      <c r="AA140" s="309"/>
      <c r="AB140" s="431"/>
      <c r="AC140" s="309"/>
      <c r="AD140" s="431"/>
      <c r="AE140" s="309"/>
      <c r="AG140" s="109"/>
      <c r="AH140" s="109"/>
      <c r="AI140" s="109"/>
      <c r="AJ140" s="109"/>
      <c r="AK140" s="109"/>
      <c r="AL140" s="109"/>
      <c r="AM140" s="109"/>
    </row>
    <row r="141" spans="1:45">
      <c r="A141" s="545" t="s">
        <v>151</v>
      </c>
      <c r="B141" s="495"/>
      <c r="C141" s="312">
        <v>67.53</v>
      </c>
      <c r="D141" s="300"/>
      <c r="E141" s="312">
        <v>43.95</v>
      </c>
      <c r="F141" s="300"/>
      <c r="G141" s="312"/>
      <c r="H141" s="300"/>
      <c r="I141" s="312"/>
      <c r="J141" s="300"/>
      <c r="K141" s="312"/>
      <c r="L141" s="431"/>
      <c r="M141" s="309"/>
      <c r="N141" s="431"/>
      <c r="O141" s="309"/>
      <c r="P141" s="431"/>
      <c r="Q141" s="309"/>
      <c r="R141" s="431"/>
      <c r="S141" s="309"/>
      <c r="T141" s="431"/>
      <c r="U141" s="309"/>
      <c r="V141" s="431"/>
      <c r="W141" s="309"/>
      <c r="X141" s="431"/>
      <c r="Y141" s="309"/>
      <c r="Z141" s="431"/>
      <c r="AA141" s="309"/>
      <c r="AB141" s="431"/>
      <c r="AC141" s="309"/>
      <c r="AD141" s="431"/>
      <c r="AE141" s="309"/>
      <c r="AF141" s="117"/>
      <c r="AN141" s="117"/>
      <c r="AO141" s="117"/>
      <c r="AP141" s="117"/>
      <c r="AQ141" s="117"/>
      <c r="AR141" s="117"/>
      <c r="AS141" s="117"/>
    </row>
    <row r="142" spans="1:45">
      <c r="A142" s="545" t="s">
        <v>152</v>
      </c>
      <c r="B142" s="513"/>
      <c r="C142" s="312">
        <v>67.53</v>
      </c>
      <c r="D142" s="300"/>
      <c r="E142" s="312">
        <v>43.95</v>
      </c>
      <c r="F142" s="300"/>
      <c r="G142" s="312"/>
      <c r="H142" s="300"/>
      <c r="I142" s="312"/>
      <c r="J142" s="300"/>
      <c r="K142" s="312"/>
      <c r="L142" s="448"/>
      <c r="M142" s="449"/>
      <c r="N142" s="448"/>
      <c r="O142" s="449"/>
      <c r="P142" s="448"/>
      <c r="Q142" s="449"/>
      <c r="R142" s="448"/>
      <c r="S142" s="449"/>
      <c r="T142" s="448"/>
      <c r="U142" s="449"/>
      <c r="V142" s="448"/>
      <c r="W142" s="449"/>
      <c r="X142" s="448"/>
      <c r="Y142" s="449"/>
      <c r="Z142" s="448"/>
      <c r="AA142" s="449"/>
      <c r="AB142" s="448"/>
      <c r="AC142" s="449"/>
      <c r="AD142" s="448"/>
      <c r="AE142" s="449"/>
    </row>
    <row r="143" spans="1:45" ht="13.5" thickBot="1">
      <c r="A143" s="545" t="s">
        <v>130</v>
      </c>
      <c r="B143" s="503"/>
      <c r="C143" s="312">
        <v>68.19</v>
      </c>
      <c r="D143" s="300"/>
      <c r="E143" s="312">
        <v>44.67</v>
      </c>
      <c r="F143" s="300"/>
      <c r="G143" s="312"/>
      <c r="H143" s="300"/>
      <c r="I143" s="312"/>
      <c r="J143" s="300"/>
      <c r="K143" s="312"/>
      <c r="L143" s="437"/>
      <c r="M143" s="311"/>
      <c r="N143" s="437"/>
      <c r="O143" s="311"/>
      <c r="P143" s="437"/>
      <c r="Q143" s="311"/>
      <c r="R143" s="437"/>
      <c r="S143" s="311"/>
      <c r="T143" s="437"/>
      <c r="U143" s="311"/>
      <c r="V143" s="437"/>
      <c r="W143" s="311"/>
      <c r="X143" s="437"/>
      <c r="Y143" s="311"/>
      <c r="Z143" s="437"/>
      <c r="AA143" s="311"/>
      <c r="AB143" s="437"/>
      <c r="AC143" s="311"/>
      <c r="AD143" s="437"/>
      <c r="AE143" s="311"/>
    </row>
    <row r="144" spans="1:45" ht="16.5" thickBot="1">
      <c r="A144" s="410" t="s">
        <v>154</v>
      </c>
      <c r="B144" s="492"/>
      <c r="C144" s="108"/>
      <c r="D144" s="145"/>
      <c r="E144" s="108"/>
      <c r="F144" s="145"/>
      <c r="G144" s="108"/>
      <c r="H144" s="145"/>
      <c r="I144" s="108"/>
      <c r="J144" s="145"/>
      <c r="K144" s="108"/>
      <c r="L144" s="145"/>
      <c r="M144" s="108"/>
      <c r="N144" s="145"/>
      <c r="O144" s="108"/>
      <c r="P144" s="145"/>
      <c r="Q144" s="108"/>
      <c r="R144" s="145"/>
      <c r="S144" s="108"/>
      <c r="T144" s="145"/>
      <c r="U144" s="108"/>
      <c r="V144" s="145"/>
      <c r="W144" s="108"/>
      <c r="X144" s="145"/>
      <c r="Y144" s="108"/>
      <c r="Z144" s="145"/>
      <c r="AA144" s="108"/>
      <c r="AB144" s="145"/>
      <c r="AC144" s="108"/>
      <c r="AD144" s="145"/>
      <c r="AE144" s="108"/>
      <c r="AI144" s="117"/>
      <c r="AJ144" s="117"/>
      <c r="AK144" s="117"/>
      <c r="AL144" s="117"/>
    </row>
    <row r="145" spans="1:39">
      <c r="A145" s="535" t="s">
        <v>161</v>
      </c>
      <c r="B145" s="499"/>
      <c r="C145" s="304"/>
      <c r="D145" s="147"/>
      <c r="E145" s="304"/>
      <c r="F145" s="147"/>
      <c r="G145" s="304"/>
      <c r="H145" s="147"/>
      <c r="I145" s="304"/>
      <c r="J145" s="147"/>
      <c r="K145" s="438"/>
      <c r="L145" s="147"/>
      <c r="M145" s="438"/>
      <c r="N145" s="147"/>
      <c r="O145" s="438"/>
      <c r="P145" s="147"/>
      <c r="Q145" s="438"/>
      <c r="R145" s="147"/>
      <c r="S145" s="438"/>
      <c r="T145" s="147"/>
      <c r="U145" s="438"/>
      <c r="V145" s="147"/>
      <c r="W145" s="438"/>
      <c r="X145" s="147"/>
      <c r="Y145" s="438"/>
      <c r="Z145" s="147"/>
      <c r="AA145" s="438"/>
      <c r="AB145" s="147"/>
      <c r="AC145" s="438"/>
      <c r="AD145" s="147"/>
      <c r="AE145" s="438"/>
      <c r="AI145" s="117"/>
      <c r="AJ145" s="117"/>
      <c r="AK145" s="117"/>
      <c r="AL145" s="117"/>
      <c r="AM145" s="117"/>
    </row>
    <row r="146" spans="1:39" ht="13.5" thickBot="1">
      <c r="A146" s="535" t="s">
        <v>162</v>
      </c>
      <c r="B146" s="499"/>
      <c r="C146" s="304"/>
      <c r="D146" s="147"/>
      <c r="E146" s="304"/>
      <c r="F146" s="147"/>
      <c r="G146" s="304"/>
      <c r="H146" s="147"/>
      <c r="I146" s="304"/>
      <c r="J146" s="147"/>
      <c r="K146" s="438"/>
      <c r="L146" s="147"/>
      <c r="M146" s="438"/>
      <c r="N146" s="147"/>
      <c r="O146" s="438"/>
      <c r="P146" s="147"/>
      <c r="Q146" s="438"/>
      <c r="R146" s="147"/>
      <c r="S146" s="438"/>
      <c r="T146" s="147"/>
      <c r="U146" s="438"/>
      <c r="V146" s="147"/>
      <c r="W146" s="438"/>
      <c r="X146" s="147"/>
      <c r="Y146" s="438"/>
      <c r="Z146" s="147"/>
      <c r="AA146" s="438"/>
      <c r="AB146" s="147"/>
      <c r="AC146" s="438"/>
      <c r="AD146" s="147"/>
      <c r="AE146" s="438"/>
      <c r="AI146" s="117"/>
      <c r="AJ146" s="117"/>
      <c r="AK146" s="117"/>
      <c r="AL146" s="117"/>
      <c r="AM146" s="117"/>
    </row>
    <row r="147" spans="1:39" ht="19.5" thickBot="1">
      <c r="A147" s="410" t="s">
        <v>21</v>
      </c>
      <c r="B147" s="492"/>
      <c r="C147" s="108"/>
      <c r="D147" s="145"/>
      <c r="E147" s="108"/>
      <c r="F147" s="145"/>
      <c r="G147" s="108"/>
      <c r="H147" s="145"/>
      <c r="I147" s="108"/>
      <c r="J147" s="145"/>
      <c r="K147" s="108"/>
      <c r="L147" s="145"/>
      <c r="M147" s="108"/>
      <c r="N147" s="145"/>
      <c r="O147" s="108"/>
      <c r="P147" s="145"/>
      <c r="Q147" s="108"/>
      <c r="R147" s="145"/>
      <c r="S147" s="108"/>
      <c r="T147" s="145"/>
      <c r="U147" s="108"/>
      <c r="V147" s="145"/>
      <c r="W147" s="108"/>
      <c r="X147" s="145"/>
      <c r="Y147" s="108"/>
      <c r="Z147" s="145"/>
      <c r="AA147" s="108"/>
      <c r="AB147" s="145"/>
      <c r="AC147" s="108"/>
      <c r="AD147" s="145"/>
      <c r="AE147" s="108"/>
      <c r="AI147" s="117"/>
      <c r="AJ147" s="117"/>
      <c r="AK147" s="117"/>
      <c r="AL147" s="117"/>
      <c r="AM147" s="117"/>
    </row>
    <row r="148" spans="1:39">
      <c r="A148" s="535" t="s">
        <v>180</v>
      </c>
      <c r="B148" s="514" t="s">
        <v>353</v>
      </c>
      <c r="C148" s="305">
        <v>0</v>
      </c>
      <c r="D148" s="466" t="s">
        <v>353</v>
      </c>
      <c r="E148" s="467">
        <v>0</v>
      </c>
      <c r="F148" s="466" t="s">
        <v>353</v>
      </c>
      <c r="G148" s="467">
        <v>0</v>
      </c>
      <c r="H148" s="466" t="s">
        <v>353</v>
      </c>
      <c r="I148" s="467">
        <v>0</v>
      </c>
      <c r="J148" s="466" t="s">
        <v>353</v>
      </c>
      <c r="K148" s="467">
        <v>0</v>
      </c>
      <c r="L148" s="439"/>
      <c r="M148" s="438"/>
      <c r="N148" s="439"/>
      <c r="O148" s="438"/>
      <c r="P148" s="439"/>
      <c r="Q148" s="438"/>
      <c r="R148" s="439"/>
      <c r="S148" s="438"/>
      <c r="T148" s="439"/>
      <c r="U148" s="438"/>
      <c r="V148" s="439"/>
      <c r="W148" s="438"/>
      <c r="X148" s="439"/>
      <c r="Y148" s="438"/>
      <c r="Z148" s="439"/>
      <c r="AA148" s="438"/>
      <c r="AB148" s="439"/>
      <c r="AC148" s="438"/>
      <c r="AD148" s="439"/>
      <c r="AE148" s="438"/>
      <c r="AM148" s="117"/>
    </row>
    <row r="149" spans="1:39">
      <c r="A149" s="536" t="s">
        <v>181</v>
      </c>
      <c r="B149" s="504" t="s">
        <v>411</v>
      </c>
      <c r="C149" s="467">
        <v>12</v>
      </c>
      <c r="D149" s="466" t="s">
        <v>411</v>
      </c>
      <c r="E149" s="467">
        <v>10.5</v>
      </c>
      <c r="F149" s="466"/>
      <c r="G149" s="467"/>
      <c r="H149" s="466"/>
      <c r="I149" s="467"/>
      <c r="J149" s="466"/>
      <c r="K149" s="467"/>
      <c r="L149" s="308"/>
      <c r="M149" s="309"/>
      <c r="N149" s="308"/>
      <c r="O149" s="309"/>
      <c r="P149" s="308"/>
      <c r="Q149" s="309"/>
      <c r="R149" s="308"/>
      <c r="S149" s="309"/>
      <c r="T149" s="308"/>
      <c r="U149" s="309"/>
      <c r="V149" s="308"/>
      <c r="W149" s="309"/>
      <c r="X149" s="308"/>
      <c r="Y149" s="309"/>
      <c r="Z149" s="308"/>
      <c r="AA149" s="309"/>
      <c r="AB149" s="308"/>
      <c r="AC149" s="309"/>
      <c r="AD149" s="308"/>
      <c r="AE149" s="309"/>
    </row>
    <row r="150" spans="1:39">
      <c r="A150" s="536" t="s">
        <v>182</v>
      </c>
      <c r="B150" s="505"/>
      <c r="C150" s="316"/>
      <c r="D150" s="318"/>
      <c r="E150" s="316"/>
      <c r="F150" s="306"/>
      <c r="G150" s="316"/>
      <c r="H150" s="306"/>
      <c r="I150" s="317"/>
      <c r="J150" s="308"/>
      <c r="K150" s="309"/>
      <c r="L150" s="308"/>
      <c r="M150" s="309"/>
      <c r="N150" s="308"/>
      <c r="O150" s="309"/>
      <c r="P150" s="308"/>
      <c r="Q150" s="309"/>
      <c r="R150" s="308"/>
      <c r="S150" s="309"/>
      <c r="T150" s="308"/>
      <c r="U150" s="309"/>
      <c r="V150" s="308"/>
      <c r="W150" s="309"/>
      <c r="X150" s="308"/>
      <c r="Y150" s="309"/>
      <c r="Z150" s="308"/>
      <c r="AA150" s="309"/>
      <c r="AB150" s="308"/>
      <c r="AC150" s="309"/>
      <c r="AD150" s="308"/>
      <c r="AE150" s="309"/>
    </row>
    <row r="151" spans="1:39">
      <c r="A151" s="536" t="s">
        <v>183</v>
      </c>
      <c r="B151" s="505"/>
      <c r="C151" s="316"/>
      <c r="D151" s="318"/>
      <c r="E151" s="316"/>
      <c r="F151" s="306"/>
      <c r="G151" s="316"/>
      <c r="H151" s="306"/>
      <c r="I151" s="317"/>
      <c r="J151" s="308"/>
      <c r="K151" s="309"/>
      <c r="L151" s="308"/>
      <c r="M151" s="309"/>
      <c r="N151" s="308"/>
      <c r="O151" s="309"/>
      <c r="P151" s="308"/>
      <c r="Q151" s="309"/>
      <c r="R151" s="308"/>
      <c r="S151" s="309"/>
      <c r="T151" s="308"/>
      <c r="U151" s="309"/>
      <c r="V151" s="308"/>
      <c r="W151" s="309"/>
      <c r="X151" s="308"/>
      <c r="Y151" s="309"/>
      <c r="Z151" s="308"/>
      <c r="AA151" s="309"/>
      <c r="AB151" s="308"/>
      <c r="AC151" s="309"/>
      <c r="AD151" s="308"/>
      <c r="AE151" s="309"/>
    </row>
    <row r="152" spans="1:39">
      <c r="A152" s="536" t="s">
        <v>212</v>
      </c>
      <c r="B152" s="505"/>
      <c r="C152" s="316"/>
      <c r="D152" s="318"/>
      <c r="E152" s="316"/>
      <c r="F152" s="319"/>
      <c r="G152" s="316"/>
      <c r="H152" s="319"/>
      <c r="I152" s="317"/>
      <c r="J152" s="308"/>
      <c r="K152" s="309"/>
      <c r="L152" s="308"/>
      <c r="M152" s="309"/>
      <c r="N152" s="308"/>
      <c r="O152" s="309"/>
      <c r="P152" s="308"/>
      <c r="Q152" s="309"/>
      <c r="R152" s="308"/>
      <c r="S152" s="309"/>
      <c r="T152" s="308"/>
      <c r="U152" s="309"/>
      <c r="V152" s="308"/>
      <c r="W152" s="309"/>
      <c r="X152" s="308"/>
      <c r="Y152" s="309"/>
      <c r="Z152" s="308"/>
      <c r="AA152" s="309"/>
      <c r="AB152" s="308"/>
      <c r="AC152" s="309"/>
      <c r="AD152" s="308"/>
      <c r="AE152" s="309"/>
    </row>
    <row r="153" spans="1:39">
      <c r="A153" s="536" t="s">
        <v>213</v>
      </c>
      <c r="B153" s="506"/>
      <c r="C153" s="320"/>
      <c r="D153" s="318"/>
      <c r="E153" s="316"/>
      <c r="F153" s="318"/>
      <c r="G153" s="321"/>
      <c r="H153" s="318"/>
      <c r="I153" s="322"/>
      <c r="J153" s="308"/>
      <c r="K153" s="309"/>
      <c r="L153" s="308"/>
      <c r="M153" s="309"/>
      <c r="N153" s="308"/>
      <c r="O153" s="309"/>
      <c r="P153" s="308"/>
      <c r="Q153" s="309"/>
      <c r="R153" s="308"/>
      <c r="S153" s="309"/>
      <c r="T153" s="308"/>
      <c r="U153" s="309"/>
      <c r="V153" s="308"/>
      <c r="W153" s="309"/>
      <c r="X153" s="308"/>
      <c r="Y153" s="309"/>
      <c r="Z153" s="308"/>
      <c r="AA153" s="309"/>
      <c r="AB153" s="308"/>
      <c r="AC153" s="309"/>
      <c r="AD153" s="308"/>
      <c r="AE153" s="309"/>
    </row>
    <row r="154" spans="1:39" ht="13.5" thickBot="1">
      <c r="A154" s="525" t="s">
        <v>214</v>
      </c>
      <c r="B154" s="507"/>
      <c r="C154" s="323"/>
      <c r="D154" s="324"/>
      <c r="E154" s="325"/>
      <c r="F154" s="324"/>
      <c r="G154" s="325"/>
      <c r="H154" s="324"/>
      <c r="I154" s="326"/>
      <c r="J154" s="310"/>
      <c r="K154" s="311"/>
      <c r="L154" s="310"/>
      <c r="M154" s="311"/>
      <c r="N154" s="310"/>
      <c r="O154" s="311"/>
      <c r="P154" s="310"/>
      <c r="Q154" s="311"/>
      <c r="R154" s="310"/>
      <c r="S154" s="311"/>
      <c r="T154" s="310"/>
      <c r="U154" s="311"/>
      <c r="V154" s="310"/>
      <c r="W154" s="311"/>
      <c r="X154" s="310"/>
      <c r="Y154" s="311"/>
      <c r="Z154" s="310"/>
      <c r="AA154" s="311"/>
      <c r="AB154" s="310"/>
      <c r="AC154" s="311"/>
      <c r="AD154" s="310"/>
      <c r="AE154" s="311"/>
    </row>
    <row r="155" spans="1:39" ht="15">
      <c r="A155" s="537"/>
      <c r="B155" s="508"/>
      <c r="C155" s="441"/>
      <c r="D155" s="440"/>
      <c r="E155" s="441"/>
      <c r="F155" s="440"/>
      <c r="G155" s="441"/>
      <c r="H155" s="440"/>
      <c r="I155" s="441"/>
      <c r="J155" s="440"/>
      <c r="K155" s="441"/>
      <c r="L155" s="440"/>
      <c r="M155" s="441"/>
      <c r="N155" s="440"/>
      <c r="O155" s="441"/>
      <c r="P155" s="440"/>
      <c r="Q155" s="441"/>
      <c r="R155" s="440"/>
      <c r="S155" s="441"/>
      <c r="T155" s="440"/>
      <c r="U155" s="441"/>
      <c r="V155" s="440"/>
      <c r="W155" s="441"/>
      <c r="X155" s="440"/>
      <c r="Y155" s="441"/>
      <c r="Z155" s="440"/>
      <c r="AA155" s="441"/>
      <c r="AB155" s="440"/>
      <c r="AC155" s="441"/>
      <c r="AD155" s="440"/>
      <c r="AE155" s="441"/>
      <c r="AM155" s="117"/>
    </row>
    <row r="156" spans="1:39">
      <c r="A156" s="538" t="s">
        <v>79</v>
      </c>
      <c r="B156" s="509"/>
      <c r="C156" s="443"/>
      <c r="D156" s="442"/>
      <c r="E156" s="443"/>
      <c r="F156" s="442"/>
      <c r="G156" s="443"/>
      <c r="H156" s="442"/>
      <c r="I156" s="443"/>
      <c r="J156" s="442"/>
      <c r="K156" s="443"/>
      <c r="L156" s="442"/>
      <c r="M156" s="443"/>
      <c r="N156" s="442"/>
      <c r="O156" s="443"/>
      <c r="P156" s="442"/>
      <c r="Q156" s="443"/>
      <c r="R156" s="442"/>
      <c r="S156" s="443"/>
      <c r="T156" s="442"/>
      <c r="U156" s="443"/>
      <c r="V156" s="442"/>
      <c r="W156" s="443"/>
      <c r="X156" s="442"/>
      <c r="Y156" s="443"/>
      <c r="Z156" s="442"/>
      <c r="AA156" s="443"/>
      <c r="AB156" s="442"/>
      <c r="AC156" s="443"/>
      <c r="AD156" s="442"/>
      <c r="AE156" s="443"/>
    </row>
    <row r="157" spans="1:39">
      <c r="A157" s="539" t="s">
        <v>22</v>
      </c>
      <c r="B157" s="620" t="s">
        <v>412</v>
      </c>
      <c r="C157" s="619"/>
      <c r="D157" s="618" t="s">
        <v>413</v>
      </c>
      <c r="E157" s="619" t="s">
        <v>414</v>
      </c>
      <c r="F157" s="618"/>
      <c r="G157" s="619"/>
      <c r="H157" s="618"/>
      <c r="I157" s="619"/>
      <c r="J157" s="618"/>
      <c r="K157" s="619"/>
      <c r="L157" s="612"/>
      <c r="M157" s="613"/>
      <c r="N157" s="612"/>
      <c r="O157" s="613"/>
      <c r="P157" s="612"/>
      <c r="Q157" s="613"/>
      <c r="R157" s="612"/>
      <c r="S157" s="613"/>
      <c r="T157" s="612"/>
      <c r="U157" s="613"/>
      <c r="V157" s="612"/>
      <c r="W157" s="613"/>
      <c r="X157" s="612"/>
      <c r="Y157" s="613"/>
      <c r="Z157" s="612"/>
      <c r="AA157" s="613"/>
      <c r="AB157" s="612"/>
      <c r="AC157" s="613"/>
      <c r="AD157" s="612"/>
      <c r="AE157" s="613"/>
    </row>
    <row r="158" spans="1:39">
      <c r="A158" s="539" t="s">
        <v>23</v>
      </c>
      <c r="B158" s="620" t="s">
        <v>412</v>
      </c>
      <c r="C158" s="619"/>
      <c r="D158" s="618" t="s">
        <v>413</v>
      </c>
      <c r="E158" s="619" t="s">
        <v>414</v>
      </c>
      <c r="F158" s="618"/>
      <c r="G158" s="619"/>
      <c r="H158" s="618"/>
      <c r="I158" s="619"/>
      <c r="J158" s="618"/>
      <c r="K158" s="619"/>
      <c r="L158" s="612"/>
      <c r="M158" s="613"/>
      <c r="N158" s="612"/>
      <c r="O158" s="613"/>
      <c r="P158" s="612"/>
      <c r="Q158" s="613"/>
      <c r="R158" s="612"/>
      <c r="S158" s="613"/>
      <c r="T158" s="612"/>
      <c r="U158" s="613"/>
      <c r="V158" s="612"/>
      <c r="W158" s="613"/>
      <c r="X158" s="612"/>
      <c r="Y158" s="613"/>
      <c r="Z158" s="612"/>
      <c r="AA158" s="613"/>
      <c r="AB158" s="612"/>
      <c r="AC158" s="613"/>
      <c r="AD158" s="612"/>
      <c r="AE158" s="613"/>
    </row>
    <row r="159" spans="1:39" ht="13.5" thickBot="1">
      <c r="A159" s="539" t="s">
        <v>220</v>
      </c>
      <c r="B159" s="621" t="s">
        <v>415</v>
      </c>
      <c r="C159" s="615"/>
      <c r="D159" s="614" t="s">
        <v>413</v>
      </c>
      <c r="E159" s="615" t="s">
        <v>414</v>
      </c>
      <c r="F159" s="614"/>
      <c r="G159" s="615"/>
      <c r="H159" s="614"/>
      <c r="I159" s="615"/>
      <c r="J159" s="614"/>
      <c r="K159" s="615"/>
      <c r="L159" s="612"/>
      <c r="M159" s="613"/>
      <c r="N159" s="612"/>
      <c r="O159" s="613"/>
      <c r="P159" s="612"/>
      <c r="Q159" s="613"/>
      <c r="R159" s="612"/>
      <c r="S159" s="613"/>
      <c r="T159" s="612"/>
      <c r="U159" s="613"/>
      <c r="V159" s="612"/>
      <c r="W159" s="613"/>
      <c r="X159" s="612"/>
      <c r="Y159" s="613"/>
      <c r="Z159" s="612"/>
      <c r="AA159" s="613"/>
      <c r="AB159" s="612"/>
      <c r="AC159" s="613"/>
      <c r="AD159" s="612"/>
      <c r="AE159" s="613"/>
    </row>
    <row r="160" spans="1:39" ht="19.5" thickBot="1">
      <c r="A160" s="521" t="s">
        <v>27</v>
      </c>
      <c r="B160" s="113"/>
      <c r="C160" s="118"/>
      <c r="D160" s="144"/>
      <c r="E160" s="118"/>
      <c r="F160" s="144"/>
      <c r="G160" s="118"/>
      <c r="H160" s="144"/>
      <c r="I160" s="118"/>
      <c r="J160" s="144"/>
      <c r="K160" s="118"/>
      <c r="L160" s="144"/>
      <c r="M160" s="118"/>
      <c r="N160" s="144"/>
      <c r="O160" s="118"/>
      <c r="P160" s="144"/>
      <c r="Q160" s="118"/>
      <c r="R160" s="144"/>
      <c r="S160" s="118"/>
      <c r="T160" s="144"/>
      <c r="U160" s="118"/>
      <c r="V160" s="144"/>
      <c r="W160" s="118"/>
      <c r="X160" s="144"/>
      <c r="Y160" s="118"/>
      <c r="Z160" s="144"/>
      <c r="AA160" s="118"/>
      <c r="AB160" s="144"/>
      <c r="AC160" s="118"/>
      <c r="AD160" s="144"/>
      <c r="AE160" s="118"/>
    </row>
    <row r="161" spans="1:45">
      <c r="A161" s="535" t="s">
        <v>157</v>
      </c>
      <c r="B161" s="499"/>
      <c r="C161" s="397">
        <v>187.51</v>
      </c>
      <c r="D161" s="147"/>
      <c r="E161" s="397">
        <v>180.86</v>
      </c>
      <c r="F161" s="147"/>
      <c r="G161" s="397"/>
      <c r="H161" s="147"/>
      <c r="I161" s="397"/>
      <c r="J161" s="147"/>
      <c r="K161" s="397"/>
      <c r="L161" s="147"/>
      <c r="M161" s="450"/>
      <c r="N161" s="147"/>
      <c r="O161" s="450"/>
      <c r="P161" s="147"/>
      <c r="Q161" s="450"/>
      <c r="R161" s="147"/>
      <c r="S161" s="450"/>
      <c r="T161" s="147"/>
      <c r="U161" s="450"/>
      <c r="V161" s="147"/>
      <c r="W161" s="450"/>
      <c r="X161" s="147"/>
      <c r="Y161" s="450"/>
      <c r="Z161" s="147"/>
      <c r="AA161" s="450"/>
      <c r="AB161" s="147"/>
      <c r="AC161" s="450"/>
      <c r="AD161" s="147"/>
      <c r="AE161" s="450"/>
    </row>
    <row r="162" spans="1:45">
      <c r="A162" s="535" t="s">
        <v>153</v>
      </c>
      <c r="B162" s="500"/>
      <c r="C162" s="303">
        <v>96.6</v>
      </c>
      <c r="D162" s="146"/>
      <c r="E162" s="303">
        <v>93.17</v>
      </c>
      <c r="F162" s="146"/>
      <c r="G162" s="303"/>
      <c r="H162" s="146"/>
      <c r="I162" s="303"/>
      <c r="J162" s="146"/>
      <c r="K162" s="303"/>
      <c r="L162" s="146"/>
      <c r="M162" s="311"/>
      <c r="N162" s="146"/>
      <c r="O162" s="311"/>
      <c r="P162" s="146"/>
      <c r="Q162" s="311"/>
      <c r="R162" s="146"/>
      <c r="S162" s="311"/>
      <c r="T162" s="146"/>
      <c r="U162" s="311"/>
      <c r="V162" s="146"/>
      <c r="W162" s="311"/>
      <c r="X162" s="146"/>
      <c r="Y162" s="311"/>
      <c r="Z162" s="146"/>
      <c r="AA162" s="311"/>
      <c r="AB162" s="146"/>
      <c r="AC162" s="311"/>
      <c r="AD162" s="146"/>
      <c r="AE162" s="311"/>
    </row>
    <row r="163" spans="1:45" s="117" customFormat="1" ht="12.75" customHeight="1">
      <c r="A163" s="535" t="s">
        <v>107</v>
      </c>
      <c r="B163" s="500"/>
      <c r="C163" s="303">
        <v>176.15</v>
      </c>
      <c r="D163" s="146"/>
      <c r="E163" s="303">
        <v>169.9</v>
      </c>
      <c r="F163" s="146"/>
      <c r="G163" s="303"/>
      <c r="H163" s="146"/>
      <c r="I163" s="303"/>
      <c r="J163" s="146"/>
      <c r="K163" s="303"/>
      <c r="L163" s="146"/>
      <c r="M163" s="311"/>
      <c r="N163" s="146"/>
      <c r="O163" s="311"/>
      <c r="P163" s="146"/>
      <c r="Q163" s="311"/>
      <c r="R163" s="146"/>
      <c r="S163" s="311"/>
      <c r="T163" s="146"/>
      <c r="U163" s="311"/>
      <c r="V163" s="146"/>
      <c r="W163" s="311"/>
      <c r="X163" s="146"/>
      <c r="Y163" s="311"/>
      <c r="Z163" s="146"/>
      <c r="AA163" s="311"/>
      <c r="AB163" s="146"/>
      <c r="AC163" s="311"/>
      <c r="AD163" s="146"/>
      <c r="AE163" s="311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</row>
    <row r="164" spans="1:45" s="117" customFormat="1" ht="12.75" customHeight="1">
      <c r="A164" s="535" t="s">
        <v>108</v>
      </c>
      <c r="B164" s="500"/>
      <c r="C164" s="303">
        <v>68.19</v>
      </c>
      <c r="D164" s="146"/>
      <c r="E164" s="303">
        <v>65.77</v>
      </c>
      <c r="F164" s="146"/>
      <c r="G164" s="303"/>
      <c r="H164" s="146"/>
      <c r="I164" s="303"/>
      <c r="J164" s="146"/>
      <c r="K164" s="303"/>
      <c r="L164" s="146"/>
      <c r="M164" s="311"/>
      <c r="N164" s="146"/>
      <c r="O164" s="311"/>
      <c r="P164" s="146"/>
      <c r="Q164" s="311"/>
      <c r="R164" s="146"/>
      <c r="S164" s="311"/>
      <c r="T164" s="146"/>
      <c r="U164" s="311"/>
      <c r="V164" s="146"/>
      <c r="W164" s="311"/>
      <c r="X164" s="146"/>
      <c r="Y164" s="311"/>
      <c r="Z164" s="146"/>
      <c r="AA164" s="311"/>
      <c r="AB164" s="146"/>
      <c r="AC164" s="311"/>
      <c r="AD164" s="146"/>
      <c r="AE164" s="311"/>
      <c r="AH164" s="109"/>
      <c r="AI164" s="109"/>
      <c r="AJ164" s="109"/>
      <c r="AK164" s="109"/>
      <c r="AL164" s="109"/>
      <c r="AM164" s="109"/>
    </row>
    <row r="165" spans="1:45" s="117" customFormat="1" ht="13.5" customHeight="1">
      <c r="A165" s="522" t="s">
        <v>109</v>
      </c>
      <c r="B165" s="500"/>
      <c r="C165" s="301">
        <v>170.46</v>
      </c>
      <c r="D165" s="146"/>
      <c r="E165" s="301">
        <v>164.42</v>
      </c>
      <c r="F165" s="146"/>
      <c r="G165" s="301"/>
      <c r="H165" s="146"/>
      <c r="I165" s="301"/>
      <c r="J165" s="146"/>
      <c r="K165" s="301"/>
      <c r="L165" s="146"/>
      <c r="M165" s="428"/>
      <c r="N165" s="146"/>
      <c r="O165" s="428"/>
      <c r="P165" s="146"/>
      <c r="Q165" s="428"/>
      <c r="R165" s="146"/>
      <c r="S165" s="428"/>
      <c r="T165" s="146"/>
      <c r="U165" s="428"/>
      <c r="V165" s="146"/>
      <c r="W165" s="428"/>
      <c r="X165" s="146"/>
      <c r="Y165" s="428"/>
      <c r="Z165" s="146"/>
      <c r="AA165" s="428"/>
      <c r="AB165" s="146"/>
      <c r="AC165" s="428"/>
      <c r="AD165" s="146"/>
      <c r="AE165" s="428"/>
      <c r="AH165" s="109"/>
      <c r="AI165" s="109"/>
      <c r="AJ165" s="109"/>
      <c r="AK165" s="109"/>
      <c r="AL165" s="109"/>
      <c r="AM165" s="109"/>
    </row>
    <row r="166" spans="1:45">
      <c r="A166" s="376" t="s">
        <v>387</v>
      </c>
      <c r="B166" s="500"/>
      <c r="C166" s="309">
        <v>157.88</v>
      </c>
      <c r="D166" s="146"/>
      <c r="E166" s="309">
        <v>155.96</v>
      </c>
      <c r="F166" s="146"/>
      <c r="G166" s="309"/>
      <c r="H166" s="146"/>
      <c r="I166" s="309"/>
      <c r="J166" s="146"/>
      <c r="K166" s="309"/>
      <c r="L166" s="146"/>
      <c r="M166" s="309"/>
      <c r="N166" s="146"/>
      <c r="O166" s="309"/>
      <c r="P166" s="146"/>
      <c r="Q166" s="309"/>
      <c r="R166" s="146"/>
      <c r="S166" s="309"/>
      <c r="T166" s="146"/>
      <c r="U166" s="309"/>
      <c r="V166" s="146"/>
      <c r="W166" s="309"/>
      <c r="X166" s="146"/>
      <c r="Y166" s="309"/>
      <c r="Z166" s="146"/>
      <c r="AA166" s="309"/>
      <c r="AB166" s="146"/>
      <c r="AC166" s="309"/>
      <c r="AD166" s="146"/>
      <c r="AE166" s="309"/>
      <c r="AF166" s="117"/>
      <c r="AG166" s="117"/>
      <c r="AN166" s="117"/>
      <c r="AO166" s="117"/>
      <c r="AP166" s="117"/>
      <c r="AQ166" s="117"/>
      <c r="AR166" s="117"/>
      <c r="AS166" s="117"/>
    </row>
    <row r="167" spans="1:45">
      <c r="A167" s="376" t="s">
        <v>388</v>
      </c>
      <c r="B167" s="500"/>
      <c r="C167" s="309">
        <v>115.78</v>
      </c>
      <c r="D167" s="146"/>
      <c r="E167" s="309">
        <v>114.37</v>
      </c>
      <c r="F167" s="146"/>
      <c r="G167" s="309"/>
      <c r="H167" s="146"/>
      <c r="I167" s="309"/>
      <c r="J167" s="146"/>
      <c r="K167" s="309"/>
      <c r="L167" s="146"/>
      <c r="M167" s="309"/>
      <c r="N167" s="146"/>
      <c r="O167" s="309"/>
      <c r="P167" s="146"/>
      <c r="Q167" s="309"/>
      <c r="R167" s="146"/>
      <c r="S167" s="309"/>
      <c r="T167" s="146"/>
      <c r="U167" s="309"/>
      <c r="V167" s="146"/>
      <c r="W167" s="309"/>
      <c r="X167" s="146"/>
      <c r="Y167" s="309"/>
      <c r="Z167" s="146"/>
      <c r="AA167" s="309"/>
      <c r="AB167" s="146"/>
      <c r="AC167" s="309"/>
      <c r="AD167" s="146"/>
      <c r="AE167" s="309"/>
    </row>
    <row r="168" spans="1:45">
      <c r="A168" s="376" t="s">
        <v>389</v>
      </c>
      <c r="B168" s="500"/>
      <c r="C168" s="309">
        <v>78.94</v>
      </c>
      <c r="D168" s="146"/>
      <c r="E168" s="309">
        <v>77.98</v>
      </c>
      <c r="F168" s="146"/>
      <c r="G168" s="309"/>
      <c r="H168" s="146"/>
      <c r="I168" s="309"/>
      <c r="J168" s="146"/>
      <c r="K168" s="309"/>
      <c r="L168" s="146"/>
      <c r="M168" s="309"/>
      <c r="N168" s="146"/>
      <c r="O168" s="309"/>
      <c r="P168" s="146"/>
      <c r="Q168" s="309"/>
      <c r="R168" s="146"/>
      <c r="S168" s="309"/>
      <c r="T168" s="146"/>
      <c r="U168" s="309"/>
      <c r="V168" s="146"/>
      <c r="W168" s="309"/>
      <c r="X168" s="146"/>
      <c r="Y168" s="309"/>
      <c r="Z168" s="146"/>
      <c r="AA168" s="309"/>
      <c r="AB168" s="146"/>
      <c r="AC168" s="309"/>
      <c r="AD168" s="146"/>
      <c r="AE168" s="309"/>
    </row>
    <row r="169" spans="1:45">
      <c r="A169" s="376"/>
      <c r="B169" s="500"/>
      <c r="C169" s="309"/>
      <c r="D169" s="146"/>
      <c r="E169" s="309"/>
      <c r="F169" s="146"/>
      <c r="G169" s="309"/>
      <c r="H169" s="146"/>
      <c r="I169" s="309"/>
      <c r="J169" s="146"/>
      <c r="K169" s="309"/>
      <c r="L169" s="146"/>
      <c r="M169" s="309"/>
      <c r="N169" s="146"/>
      <c r="O169" s="309"/>
      <c r="P169" s="146"/>
      <c r="Q169" s="309"/>
      <c r="R169" s="146"/>
      <c r="S169" s="309"/>
      <c r="T169" s="146"/>
      <c r="U169" s="309"/>
      <c r="V169" s="146"/>
      <c r="W169" s="309"/>
      <c r="X169" s="146"/>
      <c r="Y169" s="309"/>
      <c r="Z169" s="146"/>
      <c r="AA169" s="309"/>
      <c r="AB169" s="146"/>
      <c r="AC169" s="309"/>
      <c r="AD169" s="146"/>
      <c r="AE169" s="309"/>
    </row>
    <row r="170" spans="1:45">
      <c r="A170" s="376"/>
      <c r="B170" s="500"/>
      <c r="C170" s="309"/>
      <c r="D170" s="146"/>
      <c r="E170" s="309"/>
      <c r="F170" s="146"/>
      <c r="G170" s="309"/>
      <c r="H170" s="146"/>
      <c r="I170" s="309"/>
      <c r="J170" s="146"/>
      <c r="K170" s="309"/>
      <c r="L170" s="146"/>
      <c r="M170" s="309"/>
      <c r="N170" s="146"/>
      <c r="O170" s="309"/>
      <c r="P170" s="146"/>
      <c r="Q170" s="309"/>
      <c r="R170" s="146"/>
      <c r="S170" s="309"/>
      <c r="T170" s="146"/>
      <c r="U170" s="309"/>
      <c r="V170" s="146"/>
      <c r="W170" s="309"/>
      <c r="X170" s="146"/>
      <c r="Y170" s="309"/>
      <c r="Z170" s="146"/>
      <c r="AA170" s="309"/>
      <c r="AB170" s="146"/>
      <c r="AC170" s="309"/>
      <c r="AD170" s="146"/>
      <c r="AE170" s="309"/>
    </row>
    <row r="171" spans="1:45">
      <c r="A171" s="376"/>
      <c r="B171" s="500"/>
      <c r="C171" s="309"/>
      <c r="D171" s="146"/>
      <c r="E171" s="309"/>
      <c r="F171" s="146"/>
      <c r="G171" s="309"/>
      <c r="H171" s="146"/>
      <c r="I171" s="309"/>
      <c r="J171" s="146"/>
      <c r="K171" s="309"/>
      <c r="L171" s="146"/>
      <c r="M171" s="309"/>
      <c r="N171" s="146"/>
      <c r="O171" s="309"/>
      <c r="P171" s="146"/>
      <c r="Q171" s="309"/>
      <c r="R171" s="146"/>
      <c r="S171" s="309"/>
      <c r="T171" s="146"/>
      <c r="U171" s="309"/>
      <c r="V171" s="146"/>
      <c r="W171" s="309"/>
      <c r="X171" s="146"/>
      <c r="Y171" s="309"/>
      <c r="Z171" s="146"/>
      <c r="AA171" s="309"/>
      <c r="AB171" s="146"/>
      <c r="AC171" s="309"/>
      <c r="AD171" s="146"/>
      <c r="AE171" s="309"/>
    </row>
    <row r="172" spans="1:45">
      <c r="A172" s="376"/>
      <c r="B172" s="500"/>
      <c r="C172" s="447"/>
      <c r="D172" s="146"/>
      <c r="E172" s="447"/>
      <c r="F172" s="146"/>
      <c r="G172" s="447"/>
      <c r="H172" s="146"/>
      <c r="I172" s="447"/>
      <c r="J172" s="146"/>
      <c r="K172" s="447"/>
      <c r="L172" s="146"/>
      <c r="M172" s="447"/>
      <c r="N172" s="146"/>
      <c r="O172" s="447"/>
      <c r="P172" s="146"/>
      <c r="Q172" s="447"/>
      <c r="R172" s="146"/>
      <c r="S172" s="447"/>
      <c r="T172" s="146"/>
      <c r="U172" s="447"/>
      <c r="V172" s="146"/>
      <c r="W172" s="447"/>
      <c r="X172" s="146"/>
      <c r="Y172" s="447"/>
      <c r="Z172" s="146"/>
      <c r="AA172" s="447"/>
      <c r="AB172" s="146"/>
      <c r="AC172" s="447"/>
      <c r="AD172" s="146"/>
      <c r="AE172" s="447"/>
    </row>
    <row r="173" spans="1:45">
      <c r="A173" s="546"/>
      <c r="B173" s="515"/>
      <c r="C173" s="452"/>
      <c r="D173" s="451"/>
      <c r="E173" s="452"/>
      <c r="F173" s="451"/>
      <c r="G173" s="452"/>
      <c r="H173" s="451"/>
      <c r="I173" s="452"/>
      <c r="J173" s="451"/>
      <c r="K173" s="452"/>
      <c r="L173" s="451"/>
      <c r="M173" s="452"/>
      <c r="N173" s="451"/>
      <c r="O173" s="452"/>
      <c r="P173" s="451"/>
      <c r="Q173" s="452"/>
      <c r="R173" s="451"/>
      <c r="S173" s="452"/>
      <c r="T173" s="451"/>
      <c r="U173" s="452"/>
      <c r="V173" s="451"/>
      <c r="W173" s="452"/>
      <c r="X173" s="451"/>
      <c r="Y173" s="452"/>
      <c r="Z173" s="451"/>
      <c r="AA173" s="452"/>
      <c r="AB173" s="451"/>
      <c r="AC173" s="452"/>
      <c r="AD173" s="451"/>
      <c r="AE173" s="452"/>
    </row>
    <row r="174" spans="1:45">
      <c r="A174" s="546"/>
      <c r="B174" s="516"/>
      <c r="C174" s="454"/>
      <c r="D174" s="453"/>
      <c r="E174" s="454"/>
      <c r="F174" s="453"/>
      <c r="G174" s="454"/>
      <c r="H174" s="453"/>
      <c r="I174" s="454"/>
      <c r="J174" s="453"/>
      <c r="K174" s="454"/>
      <c r="L174" s="453"/>
      <c r="M174" s="454"/>
      <c r="N174" s="453"/>
      <c r="O174" s="454"/>
      <c r="P174" s="453"/>
      <c r="Q174" s="454"/>
      <c r="R174" s="453"/>
      <c r="S174" s="454"/>
      <c r="T174" s="453"/>
      <c r="U174" s="454"/>
      <c r="V174" s="453"/>
      <c r="W174" s="454"/>
      <c r="X174" s="453"/>
      <c r="Y174" s="454"/>
      <c r="Z174" s="453"/>
      <c r="AA174" s="454"/>
      <c r="AB174" s="453"/>
      <c r="AC174" s="454"/>
      <c r="AD174" s="453"/>
      <c r="AE174" s="454"/>
    </row>
    <row r="175" spans="1:45">
      <c r="A175" s="546"/>
      <c r="B175" s="516"/>
      <c r="C175" s="454"/>
      <c r="D175" s="453"/>
      <c r="E175" s="454"/>
      <c r="F175" s="453"/>
      <c r="G175" s="454"/>
      <c r="H175" s="453"/>
      <c r="I175" s="454"/>
      <c r="J175" s="453"/>
      <c r="K175" s="454"/>
      <c r="L175" s="453"/>
      <c r="M175" s="454"/>
      <c r="N175" s="453"/>
      <c r="O175" s="454"/>
      <c r="P175" s="453"/>
      <c r="Q175" s="454"/>
      <c r="R175" s="453"/>
      <c r="S175" s="454"/>
      <c r="T175" s="453"/>
      <c r="U175" s="454"/>
      <c r="V175" s="453"/>
      <c r="W175" s="454"/>
      <c r="X175" s="453"/>
      <c r="Y175" s="454"/>
      <c r="Z175" s="453"/>
      <c r="AA175" s="454"/>
      <c r="AB175" s="453"/>
      <c r="AC175" s="454"/>
      <c r="AD175" s="453"/>
      <c r="AE175" s="454"/>
    </row>
    <row r="176" spans="1:45" s="117" customFormat="1">
      <c r="A176" s="546"/>
      <c r="B176" s="516"/>
      <c r="C176" s="454"/>
      <c r="D176" s="453"/>
      <c r="E176" s="454"/>
      <c r="F176" s="453"/>
      <c r="G176" s="454"/>
      <c r="H176" s="453"/>
      <c r="I176" s="454"/>
      <c r="J176" s="453"/>
      <c r="K176" s="454"/>
      <c r="L176" s="453"/>
      <c r="M176" s="454"/>
      <c r="N176" s="453"/>
      <c r="O176" s="454"/>
      <c r="P176" s="453"/>
      <c r="Q176" s="454"/>
      <c r="R176" s="453"/>
      <c r="S176" s="454"/>
      <c r="T176" s="453"/>
      <c r="U176" s="454"/>
      <c r="V176" s="453"/>
      <c r="W176" s="454"/>
      <c r="X176" s="453"/>
      <c r="Y176" s="454"/>
      <c r="Z176" s="453"/>
      <c r="AA176" s="454"/>
      <c r="AB176" s="453"/>
      <c r="AC176" s="454"/>
      <c r="AD176" s="453"/>
      <c r="AE176" s="454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109"/>
      <c r="AP176" s="109"/>
      <c r="AQ176" s="109"/>
      <c r="AR176" s="109"/>
      <c r="AS176" s="109"/>
    </row>
    <row r="177" spans="1:45" s="117" customFormat="1">
      <c r="A177" s="546"/>
      <c r="B177" s="516"/>
      <c r="C177" s="454"/>
      <c r="D177" s="453"/>
      <c r="E177" s="454"/>
      <c r="F177" s="453"/>
      <c r="G177" s="454"/>
      <c r="H177" s="453"/>
      <c r="I177" s="454"/>
      <c r="J177" s="453"/>
      <c r="K177" s="454"/>
      <c r="L177" s="453"/>
      <c r="M177" s="454"/>
      <c r="N177" s="453"/>
      <c r="O177" s="454"/>
      <c r="P177" s="453"/>
      <c r="Q177" s="454"/>
      <c r="R177" s="453"/>
      <c r="S177" s="454"/>
      <c r="T177" s="453"/>
      <c r="U177" s="454"/>
      <c r="V177" s="453"/>
      <c r="W177" s="454"/>
      <c r="X177" s="453"/>
      <c r="Y177" s="454"/>
      <c r="Z177" s="453"/>
      <c r="AA177" s="454"/>
      <c r="AB177" s="453"/>
      <c r="AC177" s="454"/>
      <c r="AD177" s="453"/>
      <c r="AE177" s="454"/>
      <c r="AH177" s="109"/>
      <c r="AI177" s="109"/>
      <c r="AJ177" s="109"/>
      <c r="AK177" s="109"/>
      <c r="AL177" s="109"/>
      <c r="AM177" s="109"/>
    </row>
    <row r="178" spans="1:45" s="117" customFormat="1">
      <c r="A178" s="546"/>
      <c r="B178" s="516"/>
      <c r="C178" s="454"/>
      <c r="D178" s="453"/>
      <c r="E178" s="454"/>
      <c r="F178" s="453"/>
      <c r="G178" s="454"/>
      <c r="H178" s="453"/>
      <c r="I178" s="454"/>
      <c r="J178" s="453"/>
      <c r="K178" s="454"/>
      <c r="L178" s="453"/>
      <c r="M178" s="454"/>
      <c r="N178" s="453"/>
      <c r="O178" s="454"/>
      <c r="P178" s="453"/>
      <c r="Q178" s="454"/>
      <c r="R178" s="453"/>
      <c r="S178" s="454"/>
      <c r="T178" s="453"/>
      <c r="U178" s="454"/>
      <c r="V178" s="453"/>
      <c r="W178" s="454"/>
      <c r="X178" s="453"/>
      <c r="Y178" s="454"/>
      <c r="Z178" s="453"/>
      <c r="AA178" s="454"/>
      <c r="AB178" s="453"/>
      <c r="AC178" s="454"/>
      <c r="AD178" s="453"/>
      <c r="AE178" s="454"/>
      <c r="AH178" s="109"/>
      <c r="AI178" s="109"/>
      <c r="AJ178" s="109"/>
      <c r="AK178" s="109"/>
      <c r="AL178" s="109"/>
      <c r="AM178" s="109"/>
    </row>
    <row r="179" spans="1:45" s="117" customFormat="1" ht="13.5" thickBot="1">
      <c r="A179" s="547"/>
      <c r="B179" s="517"/>
      <c r="C179" s="456"/>
      <c r="D179" s="455"/>
      <c r="E179" s="456"/>
      <c r="F179" s="455"/>
      <c r="G179" s="456"/>
      <c r="H179" s="455"/>
      <c r="I179" s="456"/>
      <c r="J179" s="455"/>
      <c r="K179" s="456"/>
      <c r="L179" s="455"/>
      <c r="M179" s="456"/>
      <c r="N179" s="455"/>
      <c r="O179" s="456"/>
      <c r="P179" s="455"/>
      <c r="Q179" s="456"/>
      <c r="R179" s="455"/>
      <c r="S179" s="456"/>
      <c r="T179" s="455"/>
      <c r="U179" s="456"/>
      <c r="V179" s="455"/>
      <c r="W179" s="456"/>
      <c r="X179" s="455"/>
      <c r="Y179" s="456"/>
      <c r="Z179" s="455"/>
      <c r="AA179" s="456"/>
      <c r="AB179" s="455"/>
      <c r="AC179" s="456"/>
      <c r="AD179" s="455"/>
      <c r="AE179" s="456"/>
      <c r="AH179" s="109"/>
      <c r="AI179" s="109"/>
      <c r="AJ179" s="109"/>
      <c r="AK179" s="109"/>
      <c r="AL179" s="109"/>
      <c r="AM179" s="109"/>
    </row>
    <row r="180" spans="1:45" ht="15">
      <c r="A180" s="537"/>
      <c r="B180" s="508"/>
      <c r="C180" s="441"/>
      <c r="D180" s="440"/>
      <c r="E180" s="441"/>
      <c r="F180" s="440"/>
      <c r="G180" s="441"/>
      <c r="H180" s="440"/>
      <c r="I180" s="441"/>
      <c r="J180" s="440"/>
      <c r="K180" s="441"/>
      <c r="L180" s="440"/>
      <c r="M180" s="441"/>
      <c r="N180" s="440"/>
      <c r="O180" s="441"/>
      <c r="P180" s="440"/>
      <c r="Q180" s="441"/>
      <c r="R180" s="440"/>
      <c r="S180" s="441"/>
      <c r="T180" s="440"/>
      <c r="U180" s="441"/>
      <c r="V180" s="440"/>
      <c r="W180" s="441"/>
      <c r="X180" s="440"/>
      <c r="Y180" s="441"/>
      <c r="Z180" s="440"/>
      <c r="AA180" s="441"/>
      <c r="AB180" s="440"/>
      <c r="AC180" s="441"/>
      <c r="AD180" s="440"/>
      <c r="AE180" s="441"/>
      <c r="AF180" s="117"/>
      <c r="AG180" s="117"/>
      <c r="AN180" s="117"/>
      <c r="AO180" s="117"/>
      <c r="AP180" s="117"/>
      <c r="AQ180" s="117"/>
      <c r="AR180" s="117"/>
      <c r="AS180" s="117"/>
    </row>
    <row r="181" spans="1:45">
      <c r="A181" s="538" t="s">
        <v>79</v>
      </c>
      <c r="B181" s="509"/>
      <c r="C181" s="443"/>
      <c r="D181" s="442"/>
      <c r="E181" s="443"/>
      <c r="F181" s="442"/>
      <c r="G181" s="443"/>
      <c r="H181" s="442"/>
      <c r="I181" s="443"/>
      <c r="J181" s="442"/>
      <c r="K181" s="443"/>
      <c r="L181" s="442"/>
      <c r="M181" s="443"/>
      <c r="N181" s="442"/>
      <c r="O181" s="443"/>
      <c r="P181" s="442"/>
      <c r="Q181" s="443"/>
      <c r="R181" s="442"/>
      <c r="S181" s="443"/>
      <c r="T181" s="442"/>
      <c r="U181" s="443"/>
      <c r="V181" s="442"/>
      <c r="W181" s="443"/>
      <c r="X181" s="442"/>
      <c r="Y181" s="443"/>
      <c r="Z181" s="442"/>
      <c r="AA181" s="443"/>
      <c r="AB181" s="442"/>
      <c r="AC181" s="443"/>
      <c r="AD181" s="442"/>
      <c r="AE181" s="443"/>
    </row>
    <row r="182" spans="1:45">
      <c r="A182" s="539" t="s">
        <v>217</v>
      </c>
      <c r="B182" s="620"/>
      <c r="C182" s="619"/>
      <c r="D182" s="618"/>
      <c r="E182" s="619"/>
      <c r="F182" s="618"/>
      <c r="G182" s="619"/>
      <c r="H182" s="618"/>
      <c r="I182" s="619"/>
      <c r="J182" s="612"/>
      <c r="K182" s="613"/>
      <c r="L182" s="612"/>
      <c r="M182" s="613"/>
      <c r="N182" s="612"/>
      <c r="O182" s="613"/>
      <c r="P182" s="612"/>
      <c r="Q182" s="613"/>
      <c r="R182" s="612"/>
      <c r="S182" s="613"/>
      <c r="T182" s="612"/>
      <c r="U182" s="613"/>
      <c r="V182" s="612"/>
      <c r="W182" s="613"/>
      <c r="X182" s="612"/>
      <c r="Y182" s="613"/>
      <c r="Z182" s="612"/>
      <c r="AA182" s="613"/>
      <c r="AB182" s="612"/>
      <c r="AC182" s="613"/>
      <c r="AD182" s="612"/>
      <c r="AE182" s="613"/>
    </row>
    <row r="183" spans="1:45">
      <c r="A183" s="539" t="s">
        <v>219</v>
      </c>
      <c r="B183" s="620"/>
      <c r="C183" s="619"/>
      <c r="D183" s="618"/>
      <c r="E183" s="619"/>
      <c r="F183" s="618"/>
      <c r="G183" s="619"/>
      <c r="H183" s="618"/>
      <c r="I183" s="619"/>
      <c r="J183" s="612"/>
      <c r="K183" s="613"/>
      <c r="L183" s="612"/>
      <c r="M183" s="613"/>
      <c r="N183" s="612"/>
      <c r="O183" s="613"/>
      <c r="P183" s="612"/>
      <c r="Q183" s="613"/>
      <c r="R183" s="612"/>
      <c r="S183" s="613"/>
      <c r="T183" s="612"/>
      <c r="U183" s="613"/>
      <c r="V183" s="612"/>
      <c r="W183" s="613"/>
      <c r="X183" s="612"/>
      <c r="Y183" s="613"/>
      <c r="Z183" s="612"/>
      <c r="AA183" s="613"/>
      <c r="AB183" s="612"/>
      <c r="AC183" s="613"/>
      <c r="AD183" s="612"/>
      <c r="AE183" s="613"/>
    </row>
    <row r="184" spans="1:45" ht="13.5" thickBot="1">
      <c r="A184" s="539" t="s">
        <v>218</v>
      </c>
      <c r="B184" s="621"/>
      <c r="C184" s="615"/>
      <c r="D184" s="614"/>
      <c r="E184" s="615"/>
      <c r="F184" s="614"/>
      <c r="G184" s="615"/>
      <c r="H184" s="614"/>
      <c r="I184" s="615"/>
      <c r="J184" s="614"/>
      <c r="K184" s="615"/>
      <c r="L184" s="612"/>
      <c r="M184" s="613"/>
      <c r="N184" s="612"/>
      <c r="O184" s="613"/>
      <c r="P184" s="612"/>
      <c r="Q184" s="613"/>
      <c r="R184" s="612"/>
      <c r="S184" s="613"/>
      <c r="T184" s="612"/>
      <c r="U184" s="613"/>
      <c r="V184" s="612"/>
      <c r="W184" s="613"/>
      <c r="X184" s="612"/>
      <c r="Y184" s="613"/>
      <c r="Z184" s="612"/>
      <c r="AA184" s="613"/>
      <c r="AB184" s="612"/>
      <c r="AC184" s="613"/>
      <c r="AD184" s="612"/>
      <c r="AE184" s="613"/>
    </row>
    <row r="185" spans="1:45" ht="16.5" thickBot="1">
      <c r="A185" s="521" t="s">
        <v>158</v>
      </c>
      <c r="B185" s="113"/>
      <c r="C185" s="114"/>
      <c r="D185" s="144"/>
      <c r="E185" s="114"/>
      <c r="F185" s="144"/>
      <c r="G185" s="114"/>
      <c r="H185" s="144"/>
      <c r="I185" s="114"/>
      <c r="J185" s="144"/>
      <c r="K185" s="114"/>
      <c r="L185" s="144"/>
      <c r="M185" s="114"/>
      <c r="N185" s="144"/>
      <c r="O185" s="114"/>
      <c r="P185" s="144"/>
      <c r="Q185" s="114"/>
      <c r="R185" s="144"/>
      <c r="S185" s="114"/>
      <c r="T185" s="144"/>
      <c r="U185" s="114"/>
      <c r="V185" s="144"/>
      <c r="W185" s="114"/>
      <c r="X185" s="144"/>
      <c r="Y185" s="114"/>
      <c r="Z185" s="144"/>
      <c r="AA185" s="114"/>
      <c r="AB185" s="144"/>
      <c r="AC185" s="114"/>
      <c r="AD185" s="144"/>
      <c r="AE185" s="114"/>
    </row>
    <row r="186" spans="1:45" ht="16.5" thickBot="1">
      <c r="A186" s="410" t="s">
        <v>16</v>
      </c>
      <c r="B186" s="492"/>
      <c r="C186" s="108"/>
      <c r="D186" s="145"/>
      <c r="E186" s="108"/>
      <c r="F186" s="145"/>
      <c r="G186" s="108"/>
      <c r="H186" s="145"/>
      <c r="I186" s="108"/>
      <c r="J186" s="145"/>
      <c r="K186" s="108"/>
      <c r="L186" s="145"/>
      <c r="M186" s="108"/>
      <c r="N186" s="145"/>
      <c r="O186" s="108"/>
      <c r="P186" s="145"/>
      <c r="Q186" s="108"/>
      <c r="R186" s="145"/>
      <c r="S186" s="108"/>
      <c r="T186" s="145"/>
      <c r="U186" s="108"/>
      <c r="V186" s="145"/>
      <c r="W186" s="108"/>
      <c r="X186" s="145"/>
      <c r="Y186" s="108"/>
      <c r="Z186" s="145"/>
      <c r="AA186" s="108"/>
      <c r="AB186" s="145"/>
      <c r="AC186" s="108"/>
      <c r="AD186" s="145"/>
      <c r="AE186" s="108"/>
    </row>
    <row r="187" spans="1:45">
      <c r="A187" s="535" t="s">
        <v>155</v>
      </c>
      <c r="B187" s="499"/>
      <c r="C187" s="396">
        <v>1.8499999999999999E-2</v>
      </c>
      <c r="D187" s="147"/>
      <c r="E187" s="396"/>
      <c r="F187" s="147"/>
      <c r="G187" s="396"/>
      <c r="H187" s="147"/>
      <c r="I187" s="396"/>
      <c r="J187" s="147"/>
      <c r="K187" s="396"/>
      <c r="L187" s="147"/>
      <c r="M187" s="457"/>
      <c r="N187" s="147"/>
      <c r="O187" s="457"/>
      <c r="P187" s="147"/>
      <c r="Q187" s="457"/>
      <c r="R187" s="147"/>
      <c r="S187" s="457"/>
      <c r="T187" s="147"/>
      <c r="U187" s="457"/>
      <c r="V187" s="147"/>
      <c r="W187" s="457"/>
      <c r="X187" s="147"/>
      <c r="Y187" s="457"/>
      <c r="Z187" s="147"/>
      <c r="AA187" s="457"/>
      <c r="AB187" s="147"/>
      <c r="AC187" s="457"/>
      <c r="AD187" s="147"/>
      <c r="AE187" s="457"/>
    </row>
    <row r="188" spans="1:45">
      <c r="A188" s="536" t="s">
        <v>0</v>
      </c>
      <c r="B188" s="500"/>
      <c r="C188" s="327">
        <v>1E-4</v>
      </c>
      <c r="D188" s="146"/>
      <c r="E188" s="327"/>
      <c r="F188" s="146"/>
      <c r="G188" s="327"/>
      <c r="H188" s="146"/>
      <c r="I188" s="327"/>
      <c r="J188" s="146"/>
      <c r="K188" s="327"/>
      <c r="L188" s="146"/>
      <c r="M188" s="458"/>
      <c r="N188" s="146"/>
      <c r="O188" s="458"/>
      <c r="P188" s="146"/>
      <c r="Q188" s="458"/>
      <c r="R188" s="146"/>
      <c r="S188" s="458"/>
      <c r="T188" s="146"/>
      <c r="U188" s="458"/>
      <c r="V188" s="146"/>
      <c r="W188" s="458"/>
      <c r="X188" s="146"/>
      <c r="Y188" s="458"/>
      <c r="Z188" s="146"/>
      <c r="AA188" s="458"/>
      <c r="AB188" s="146"/>
      <c r="AC188" s="458"/>
      <c r="AD188" s="146"/>
      <c r="AE188" s="458"/>
    </row>
    <row r="189" spans="1:45">
      <c r="A189" s="536" t="s">
        <v>216</v>
      </c>
      <c r="B189" s="500"/>
      <c r="C189" s="328">
        <v>3.5000000000000003E-2</v>
      </c>
      <c r="D189" s="146"/>
      <c r="E189" s="328"/>
      <c r="F189" s="146"/>
      <c r="G189" s="328"/>
      <c r="H189" s="146"/>
      <c r="I189" s="328"/>
      <c r="J189" s="146"/>
      <c r="K189" s="328"/>
      <c r="L189" s="146"/>
      <c r="M189" s="459"/>
      <c r="N189" s="146"/>
      <c r="O189" s="459"/>
      <c r="P189" s="146"/>
      <c r="Q189" s="459"/>
      <c r="R189" s="146"/>
      <c r="S189" s="459"/>
      <c r="T189" s="146"/>
      <c r="U189" s="459"/>
      <c r="V189" s="146"/>
      <c r="W189" s="459"/>
      <c r="X189" s="146"/>
      <c r="Y189" s="459"/>
      <c r="Z189" s="146"/>
      <c r="AA189" s="459"/>
      <c r="AB189" s="146"/>
      <c r="AC189" s="459"/>
      <c r="AD189" s="146"/>
      <c r="AE189" s="459"/>
    </row>
    <row r="190" spans="1:45">
      <c r="A190" s="376" t="s">
        <v>390</v>
      </c>
      <c r="B190" s="518"/>
      <c r="C190" s="460">
        <v>5.5E-2</v>
      </c>
      <c r="D190" s="148"/>
      <c r="E190" s="460"/>
      <c r="F190" s="148"/>
      <c r="G190" s="460"/>
      <c r="H190" s="148"/>
      <c r="I190" s="460"/>
      <c r="J190" s="148"/>
      <c r="K190" s="460"/>
      <c r="L190" s="148"/>
      <c r="M190" s="460"/>
      <c r="N190" s="148"/>
      <c r="O190" s="460"/>
      <c r="P190" s="148"/>
      <c r="Q190" s="460"/>
      <c r="R190" s="148"/>
      <c r="S190" s="460"/>
      <c r="T190" s="148"/>
      <c r="U190" s="460"/>
      <c r="V190" s="148"/>
      <c r="W190" s="460"/>
      <c r="X190" s="148"/>
      <c r="Y190" s="460"/>
      <c r="Z190" s="148"/>
      <c r="AA190" s="460"/>
      <c r="AB190" s="148"/>
      <c r="AC190" s="460"/>
      <c r="AD190" s="148"/>
      <c r="AE190" s="460"/>
    </row>
    <row r="191" spans="1:45">
      <c r="A191" s="376"/>
      <c r="B191" s="518"/>
      <c r="C191" s="461"/>
      <c r="D191" s="148"/>
      <c r="E191" s="461"/>
      <c r="F191" s="148"/>
      <c r="G191" s="461"/>
      <c r="H191" s="148"/>
      <c r="I191" s="461"/>
      <c r="J191" s="148"/>
      <c r="K191" s="461"/>
      <c r="L191" s="148"/>
      <c r="M191" s="461"/>
      <c r="N191" s="148"/>
      <c r="O191" s="461"/>
      <c r="P191" s="148"/>
      <c r="Q191" s="461"/>
      <c r="R191" s="148"/>
      <c r="S191" s="461"/>
      <c r="T191" s="148"/>
      <c r="U191" s="461"/>
      <c r="V191" s="148"/>
      <c r="W191" s="461"/>
      <c r="X191" s="148"/>
      <c r="Y191" s="461"/>
      <c r="Z191" s="148"/>
      <c r="AA191" s="461"/>
      <c r="AB191" s="148"/>
      <c r="AC191" s="461"/>
      <c r="AD191" s="148"/>
      <c r="AE191" s="461"/>
    </row>
    <row r="192" spans="1:45" ht="13.5" thickBot="1">
      <c r="A192" s="376"/>
      <c r="B192" s="519"/>
      <c r="C192" s="462"/>
      <c r="D192" s="149"/>
      <c r="E192" s="462"/>
      <c r="F192" s="149"/>
      <c r="G192" s="462"/>
      <c r="H192" s="149"/>
      <c r="I192" s="462"/>
      <c r="J192" s="149"/>
      <c r="K192" s="462"/>
      <c r="L192" s="149"/>
      <c r="M192" s="462"/>
      <c r="N192" s="149"/>
      <c r="O192" s="462"/>
      <c r="P192" s="149"/>
      <c r="Q192" s="462"/>
      <c r="R192" s="149"/>
      <c r="S192" s="462"/>
      <c r="T192" s="149"/>
      <c r="U192" s="462"/>
      <c r="V192" s="149"/>
      <c r="W192" s="462"/>
      <c r="X192" s="149"/>
      <c r="Y192" s="462"/>
      <c r="Z192" s="149"/>
      <c r="AA192" s="462"/>
      <c r="AB192" s="149"/>
      <c r="AC192" s="462"/>
      <c r="AD192" s="149"/>
      <c r="AE192" s="462"/>
    </row>
    <row r="193" spans="1:31" ht="15">
      <c r="A193" s="537"/>
      <c r="B193" s="508"/>
      <c r="C193" s="441"/>
      <c r="D193" s="440"/>
      <c r="E193" s="441"/>
      <c r="F193" s="440"/>
      <c r="G193" s="441"/>
      <c r="H193" s="440"/>
      <c r="I193" s="441"/>
      <c r="J193" s="440"/>
      <c r="K193" s="441"/>
      <c r="L193" s="440"/>
      <c r="M193" s="441"/>
      <c r="N193" s="440"/>
      <c r="O193" s="441"/>
      <c r="P193" s="440"/>
      <c r="Q193" s="441"/>
      <c r="R193" s="440"/>
      <c r="S193" s="441"/>
      <c r="T193" s="440"/>
      <c r="U193" s="441"/>
      <c r="V193" s="440"/>
      <c r="W193" s="441"/>
      <c r="X193" s="440"/>
      <c r="Y193" s="441"/>
      <c r="Z193" s="440"/>
      <c r="AA193" s="441"/>
      <c r="AB193" s="440"/>
      <c r="AC193" s="441"/>
      <c r="AD193" s="440"/>
      <c r="AE193" s="441"/>
    </row>
    <row r="194" spans="1:31">
      <c r="A194" s="538" t="s">
        <v>79</v>
      </c>
      <c r="B194" s="509"/>
      <c r="C194" s="443"/>
      <c r="D194" s="442"/>
      <c r="E194" s="443"/>
      <c r="F194" s="442"/>
      <c r="G194" s="443"/>
      <c r="H194" s="442"/>
      <c r="I194" s="443"/>
      <c r="J194" s="442"/>
      <c r="K194" s="443"/>
      <c r="L194" s="442"/>
      <c r="M194" s="443"/>
      <c r="N194" s="442"/>
      <c r="O194" s="443"/>
      <c r="P194" s="442"/>
      <c r="Q194" s="443"/>
      <c r="R194" s="442"/>
      <c r="S194" s="443"/>
      <c r="T194" s="442"/>
      <c r="U194" s="443"/>
      <c r="V194" s="442"/>
      <c r="W194" s="443"/>
      <c r="X194" s="442"/>
      <c r="Y194" s="443"/>
      <c r="Z194" s="442"/>
      <c r="AA194" s="443"/>
      <c r="AB194" s="442"/>
      <c r="AC194" s="443"/>
      <c r="AD194" s="442"/>
      <c r="AE194" s="443"/>
    </row>
    <row r="195" spans="1:31">
      <c r="A195" s="539" t="s">
        <v>215</v>
      </c>
      <c r="B195" s="620" t="s">
        <v>391</v>
      </c>
      <c r="C195" s="619"/>
      <c r="D195" s="618" t="s">
        <v>391</v>
      </c>
      <c r="E195" s="619"/>
      <c r="F195" s="618"/>
      <c r="G195" s="619"/>
      <c r="H195" s="618"/>
      <c r="I195" s="619"/>
      <c r="J195" s="612"/>
      <c r="K195" s="613"/>
      <c r="L195" s="612"/>
      <c r="M195" s="613"/>
      <c r="N195" s="612"/>
      <c r="O195" s="613"/>
      <c r="P195" s="612"/>
      <c r="Q195" s="613"/>
      <c r="R195" s="612"/>
      <c r="S195" s="613"/>
      <c r="T195" s="612"/>
      <c r="U195" s="613"/>
      <c r="V195" s="612"/>
      <c r="W195" s="613"/>
      <c r="X195" s="612"/>
      <c r="Y195" s="613"/>
      <c r="Z195" s="612"/>
      <c r="AA195" s="613"/>
      <c r="AB195" s="612"/>
      <c r="AC195" s="613"/>
      <c r="AD195" s="612"/>
      <c r="AE195" s="613"/>
    </row>
    <row r="196" spans="1:31">
      <c r="A196" s="376"/>
      <c r="B196" s="625"/>
      <c r="C196" s="613"/>
      <c r="D196" s="612"/>
      <c r="E196" s="613"/>
      <c r="F196" s="612"/>
      <c r="G196" s="613"/>
      <c r="H196" s="612"/>
      <c r="I196" s="613"/>
      <c r="J196" s="612"/>
      <c r="K196" s="613"/>
      <c r="L196" s="612"/>
      <c r="M196" s="613"/>
      <c r="N196" s="612"/>
      <c r="O196" s="613"/>
      <c r="P196" s="612"/>
      <c r="Q196" s="613"/>
      <c r="R196" s="612"/>
      <c r="S196" s="613"/>
      <c r="T196" s="612"/>
      <c r="U196" s="613"/>
      <c r="V196" s="612"/>
      <c r="W196" s="613"/>
      <c r="X196" s="612"/>
      <c r="Y196" s="613"/>
      <c r="Z196" s="612"/>
      <c r="AA196" s="613"/>
      <c r="AB196" s="612"/>
      <c r="AC196" s="613"/>
      <c r="AD196" s="612"/>
      <c r="AE196" s="613"/>
    </row>
    <row r="197" spans="1:31">
      <c r="A197" s="376"/>
      <c r="B197" s="625" t="s">
        <v>391</v>
      </c>
      <c r="C197" s="613"/>
      <c r="D197" s="612" t="s">
        <v>391</v>
      </c>
      <c r="E197" s="613"/>
      <c r="F197" s="612"/>
      <c r="G197" s="613"/>
      <c r="H197" s="612"/>
      <c r="I197" s="613"/>
      <c r="J197" s="612"/>
      <c r="K197" s="613"/>
      <c r="L197" s="612"/>
      <c r="M197" s="613"/>
      <c r="N197" s="612"/>
      <c r="O197" s="613"/>
      <c r="P197" s="612"/>
      <c r="Q197" s="613"/>
      <c r="R197" s="612"/>
      <c r="S197" s="613"/>
      <c r="T197" s="612"/>
      <c r="U197" s="613"/>
      <c r="V197" s="612"/>
      <c r="W197" s="613"/>
      <c r="X197" s="612"/>
      <c r="Y197" s="613"/>
      <c r="Z197" s="612"/>
      <c r="AA197" s="613"/>
      <c r="AB197" s="612"/>
      <c r="AC197" s="613"/>
      <c r="AD197" s="612"/>
      <c r="AE197" s="613"/>
    </row>
    <row r="198" spans="1:31" ht="13.5" thickBot="1">
      <c r="A198" s="380"/>
      <c r="B198" s="626" t="s">
        <v>392</v>
      </c>
      <c r="C198" s="617" t="s">
        <v>393</v>
      </c>
      <c r="D198" s="616" t="s">
        <v>394</v>
      </c>
      <c r="E198" s="617"/>
      <c r="F198" s="616"/>
      <c r="G198" s="617"/>
      <c r="H198" s="616"/>
      <c r="I198" s="617"/>
      <c r="J198" s="616"/>
      <c r="K198" s="617"/>
      <c r="L198" s="616"/>
      <c r="M198" s="617"/>
      <c r="N198" s="616"/>
      <c r="O198" s="617"/>
      <c r="P198" s="616"/>
      <c r="Q198" s="617"/>
      <c r="R198" s="616"/>
      <c r="S198" s="617"/>
      <c r="T198" s="616"/>
      <c r="U198" s="617"/>
      <c r="V198" s="616"/>
      <c r="W198" s="617"/>
      <c r="X198" s="616"/>
      <c r="Y198" s="617"/>
      <c r="Z198" s="616"/>
      <c r="AA198" s="617"/>
      <c r="AB198" s="616"/>
      <c r="AC198" s="617"/>
      <c r="AD198" s="616"/>
      <c r="AE198" s="617"/>
    </row>
    <row r="199" spans="1:31" ht="15">
      <c r="A199" s="11"/>
      <c r="B199" s="27"/>
      <c r="C199" s="27"/>
      <c r="D199" s="27"/>
      <c r="E199" s="27"/>
      <c r="F199" s="29"/>
      <c r="G199" s="29"/>
      <c r="H199" s="11"/>
      <c r="I199" s="11"/>
      <c r="J199" s="11"/>
      <c r="K199" s="11"/>
      <c r="L199" s="3"/>
      <c r="M199" s="3"/>
      <c r="N199" s="3"/>
      <c r="O199" s="3"/>
    </row>
    <row r="200" spans="1:31">
      <c r="K200" s="119"/>
    </row>
  </sheetData>
  <sheetProtection password="E51C" sheet="1" objects="1" scenarios="1"/>
  <protectedRanges>
    <protectedRange password="8CE6" sqref="A190:A192 A196:A198 B195:AE198 B187:AE192" name="IndrectLabor"/>
    <protectedRange password="8CE6" sqref="A166:A172 B161:AE172 B182:AE184" name="ProjectMgmtLabor"/>
    <protectedRange password="8CE6" sqref="L138:AE143 B145:AE146 B149:K154 L148:AE154 L157:AE159" name="LaborerLabor"/>
    <protectedRange password="8CE6" sqref="B127:K132 C124 E124 G124 I124 M124 O124 Q124 S124 U124 W124 AE124 AC124 AA124 Y124 L135:AE136 L126:AE132 I85 K124 G85 B112:C122 L112:AE122 K108:K122 C108:C111 E108:E122 I108:I122 G108:G122" name="TruckLabor"/>
    <protectedRange password="8CE6" sqref="B90:AE91 B126:K126 B95:AE101 B12:AE18 H138:H143 C93 E93 G93 I93 K93 M93 O93 Q93 S93 U93 W93 Y93 AA93 AC93 AE93 L105:AE106 B38:AE39 B25:AE28 B148:K148 J85:AE85 B135:K136 D112:D122 D138:D143 F138:F143 F112:F122 J138:J143 J112:J122 H112:H122 B85:F85 H85 B157:K159 B30:AE36 B42:AE57 B71:AE83" name="EquipLabor"/>
    <protectedRange password="8CE6" sqref="I138:I143 B138:C143 G138:G143 E138:E143 K138:K143" name="LaborerLabor_1"/>
    <protectedRange password="8CE6" sqref="B105:K105" name="EquipLabor_4"/>
    <protectedRange password="8CE6" sqref="B106:K106" name="EquipLabor_5"/>
    <protectedRange password="8CE6" sqref="B20:AE23" name="EquipLabor_1"/>
  </protectedRanges>
  <dataConsolidate/>
  <mergeCells count="244">
    <mergeCell ref="AB9:AC9"/>
    <mergeCell ref="AD9:AE9"/>
    <mergeCell ref="P9:Q9"/>
    <mergeCell ref="R9:S9"/>
    <mergeCell ref="T9:U9"/>
    <mergeCell ref="V9:W9"/>
    <mergeCell ref="X9:Y9"/>
    <mergeCell ref="Z9:AA9"/>
    <mergeCell ref="A8:A9"/>
    <mergeCell ref="AD8:AE8"/>
    <mergeCell ref="AB8:AC8"/>
    <mergeCell ref="Z8:AA8"/>
    <mergeCell ref="X8:Y8"/>
    <mergeCell ref="B8:C8"/>
    <mergeCell ref="V8:W8"/>
    <mergeCell ref="T8:U8"/>
    <mergeCell ref="N8:O8"/>
    <mergeCell ref="L8:M8"/>
    <mergeCell ref="R8:S8"/>
    <mergeCell ref="P8:Q8"/>
    <mergeCell ref="F8:G8"/>
    <mergeCell ref="D8:E8"/>
    <mergeCell ref="J8:K8"/>
    <mergeCell ref="H8:I8"/>
    <mergeCell ref="B198:C198"/>
    <mergeCell ref="D198:E198"/>
    <mergeCell ref="F198:G198"/>
    <mergeCell ref="H198:I198"/>
    <mergeCell ref="V198:W198"/>
    <mergeCell ref="R158:S158"/>
    <mergeCell ref="T158:U158"/>
    <mergeCell ref="V158:W158"/>
    <mergeCell ref="R197:S197"/>
    <mergeCell ref="T197:U197"/>
    <mergeCell ref="N197:O197"/>
    <mergeCell ref="P197:Q197"/>
    <mergeCell ref="J198:K198"/>
    <mergeCell ref="L198:M198"/>
    <mergeCell ref="N198:O198"/>
    <mergeCell ref="P198:Q198"/>
    <mergeCell ref="J197:K197"/>
    <mergeCell ref="L197:M197"/>
    <mergeCell ref="B197:C197"/>
    <mergeCell ref="D197:E197"/>
    <mergeCell ref="F197:G197"/>
    <mergeCell ref="H197:I197"/>
    <mergeCell ref="B184:C184"/>
    <mergeCell ref="D184:E184"/>
    <mergeCell ref="R198:S198"/>
    <mergeCell ref="T198:U198"/>
    <mergeCell ref="R195:S195"/>
    <mergeCell ref="R184:S184"/>
    <mergeCell ref="X198:Y198"/>
    <mergeCell ref="Z105:AA105"/>
    <mergeCell ref="Z197:AA197"/>
    <mergeCell ref="Z198:AA198"/>
    <mergeCell ref="X158:Y158"/>
    <mergeCell ref="Z158:AA158"/>
    <mergeCell ref="R105:S105"/>
    <mergeCell ref="T105:U105"/>
    <mergeCell ref="V197:W197"/>
    <mergeCell ref="T157:U157"/>
    <mergeCell ref="V157:W157"/>
    <mergeCell ref="V135:W135"/>
    <mergeCell ref="T196:U196"/>
    <mergeCell ref="V196:W196"/>
    <mergeCell ref="T195:U195"/>
    <mergeCell ref="V195:W195"/>
    <mergeCell ref="V136:W136"/>
    <mergeCell ref="V184:W184"/>
    <mergeCell ref="X184:Y184"/>
    <mergeCell ref="V183:W183"/>
    <mergeCell ref="AB105:AC105"/>
    <mergeCell ref="AB197:AC197"/>
    <mergeCell ref="AD184:AE184"/>
    <mergeCell ref="Z195:AA195"/>
    <mergeCell ref="Z136:AA136"/>
    <mergeCell ref="X196:Y196"/>
    <mergeCell ref="Z196:AA196"/>
    <mergeCell ref="AB198:AC198"/>
    <mergeCell ref="AD105:AE105"/>
    <mergeCell ref="AD197:AE197"/>
    <mergeCell ref="AD198:AE198"/>
    <mergeCell ref="AB158:AC158"/>
    <mergeCell ref="AD158:AE158"/>
    <mergeCell ref="X197:Y197"/>
    <mergeCell ref="AB157:AC157"/>
    <mergeCell ref="AB135:AC135"/>
    <mergeCell ref="X135:Y135"/>
    <mergeCell ref="X136:Y136"/>
    <mergeCell ref="AB136:AC136"/>
    <mergeCell ref="Z106:AA106"/>
    <mergeCell ref="X195:Y195"/>
    <mergeCell ref="X159:Y159"/>
    <mergeCell ref="AB195:AC195"/>
    <mergeCell ref="AB196:AC196"/>
    <mergeCell ref="B196:C196"/>
    <mergeCell ref="D196:E196"/>
    <mergeCell ref="F196:G196"/>
    <mergeCell ref="H196:I196"/>
    <mergeCell ref="B195:C195"/>
    <mergeCell ref="D195:E195"/>
    <mergeCell ref="F195:G195"/>
    <mergeCell ref="H195:I195"/>
    <mergeCell ref="V105:W105"/>
    <mergeCell ref="P158:Q158"/>
    <mergeCell ref="N184:O184"/>
    <mergeCell ref="P184:Q184"/>
    <mergeCell ref="N182:O182"/>
    <mergeCell ref="P182:Q182"/>
    <mergeCell ref="P135:Q135"/>
    <mergeCell ref="P183:Q183"/>
    <mergeCell ref="R183:S183"/>
    <mergeCell ref="T183:U183"/>
    <mergeCell ref="L105:M105"/>
    <mergeCell ref="N105:O105"/>
    <mergeCell ref="P105:Q105"/>
    <mergeCell ref="F105:G105"/>
    <mergeCell ref="H105:I105"/>
    <mergeCell ref="F157:G157"/>
    <mergeCell ref="AD135:AE135"/>
    <mergeCell ref="T135:U135"/>
    <mergeCell ref="P136:Q136"/>
    <mergeCell ref="R136:S136"/>
    <mergeCell ref="T136:U136"/>
    <mergeCell ref="J195:K195"/>
    <mergeCell ref="L195:M195"/>
    <mergeCell ref="R196:S196"/>
    <mergeCell ref="N196:O196"/>
    <mergeCell ref="P196:Q196"/>
    <mergeCell ref="J196:K196"/>
    <mergeCell ref="L196:M196"/>
    <mergeCell ref="P195:Q195"/>
    <mergeCell ref="L158:M158"/>
    <mergeCell ref="AD195:AE195"/>
    <mergeCell ref="AD196:AE196"/>
    <mergeCell ref="AD157:AE157"/>
    <mergeCell ref="N183:O183"/>
    <mergeCell ref="AB183:AC183"/>
    <mergeCell ref="AD183:AE183"/>
    <mergeCell ref="Z184:AA184"/>
    <mergeCell ref="N195:O195"/>
    <mergeCell ref="Z159:AA159"/>
    <mergeCell ref="N159:O159"/>
    <mergeCell ref="N136:O136"/>
    <mergeCell ref="L135:M135"/>
    <mergeCell ref="J136:K136"/>
    <mergeCell ref="L136:M136"/>
    <mergeCell ref="J135:K135"/>
    <mergeCell ref="B2:D2"/>
    <mergeCell ref="B3:D3"/>
    <mergeCell ref="B4:D4"/>
    <mergeCell ref="B135:C135"/>
    <mergeCell ref="D135:E135"/>
    <mergeCell ref="B106:C106"/>
    <mergeCell ref="D106:E106"/>
    <mergeCell ref="D105:E105"/>
    <mergeCell ref="B105:C105"/>
    <mergeCell ref="B9:C9"/>
    <mergeCell ref="B136:C136"/>
    <mergeCell ref="D136:E136"/>
    <mergeCell ref="F136:G136"/>
    <mergeCell ref="J105:K105"/>
    <mergeCell ref="X105:Y105"/>
    <mergeCell ref="L9:M9"/>
    <mergeCell ref="N9:O9"/>
    <mergeCell ref="D9:E9"/>
    <mergeCell ref="F9:G9"/>
    <mergeCell ref="H9:I9"/>
    <mergeCell ref="J9:K9"/>
    <mergeCell ref="F135:G135"/>
    <mergeCell ref="H135:I135"/>
    <mergeCell ref="F106:G106"/>
    <mergeCell ref="H106:I106"/>
    <mergeCell ref="N135:O135"/>
    <mergeCell ref="F184:G184"/>
    <mergeCell ref="H184:I184"/>
    <mergeCell ref="L183:M183"/>
    <mergeCell ref="L182:M182"/>
    <mergeCell ref="F182:G182"/>
    <mergeCell ref="H182:I182"/>
    <mergeCell ref="F159:G159"/>
    <mergeCell ref="B157:C157"/>
    <mergeCell ref="D157:E157"/>
    <mergeCell ref="F158:G158"/>
    <mergeCell ref="H158:I158"/>
    <mergeCell ref="B158:C158"/>
    <mergeCell ref="D158:E158"/>
    <mergeCell ref="B182:C182"/>
    <mergeCell ref="D182:E182"/>
    <mergeCell ref="B159:C159"/>
    <mergeCell ref="D159:E159"/>
    <mergeCell ref="H183:I183"/>
    <mergeCell ref="D183:E183"/>
    <mergeCell ref="F183:G183"/>
    <mergeCell ref="B183:C183"/>
    <mergeCell ref="AB106:AC106"/>
    <mergeCell ref="AD106:AE106"/>
    <mergeCell ref="AD159:AE159"/>
    <mergeCell ref="AD182:AE182"/>
    <mergeCell ref="AD136:AE136"/>
    <mergeCell ref="AB159:AC159"/>
    <mergeCell ref="L184:M184"/>
    <mergeCell ref="J182:K182"/>
    <mergeCell ref="J184:K184"/>
    <mergeCell ref="J183:K183"/>
    <mergeCell ref="AB184:AC184"/>
    <mergeCell ref="T184:U184"/>
    <mergeCell ref="T182:U182"/>
    <mergeCell ref="AB182:AC182"/>
    <mergeCell ref="X183:Y183"/>
    <mergeCell ref="Z183:AA183"/>
    <mergeCell ref="V159:W159"/>
    <mergeCell ref="J159:K159"/>
    <mergeCell ref="L159:M159"/>
    <mergeCell ref="X157:Y157"/>
    <mergeCell ref="Z157:AA157"/>
    <mergeCell ref="P159:Q159"/>
    <mergeCell ref="R159:S159"/>
    <mergeCell ref="T159:U159"/>
    <mergeCell ref="Z182:AA182"/>
    <mergeCell ref="H159:I159"/>
    <mergeCell ref="Z135:AA135"/>
    <mergeCell ref="T106:U106"/>
    <mergeCell ref="X106:Y106"/>
    <mergeCell ref="J106:K106"/>
    <mergeCell ref="L106:M106"/>
    <mergeCell ref="N106:O106"/>
    <mergeCell ref="P106:Q106"/>
    <mergeCell ref="V106:W106"/>
    <mergeCell ref="H157:I157"/>
    <mergeCell ref="N158:O158"/>
    <mergeCell ref="J158:K158"/>
    <mergeCell ref="R106:S106"/>
    <mergeCell ref="R135:S135"/>
    <mergeCell ref="P157:Q157"/>
    <mergeCell ref="R157:S157"/>
    <mergeCell ref="J157:K157"/>
    <mergeCell ref="L157:M157"/>
    <mergeCell ref="N157:O157"/>
    <mergeCell ref="V182:W182"/>
    <mergeCell ref="X182:Y182"/>
    <mergeCell ref="R182:S182"/>
    <mergeCell ref="H136:I136"/>
  </mergeCells>
  <phoneticPr fontId="10" type="noConversion"/>
  <pageMargins left="0.25" right="0.25" top="1" bottom="1" header="0.5" footer="0.5"/>
  <pageSetup paperSize="8" scale="95" fitToHeight="3" orientation="portrait" horizontalDpi="1200" verticalDpi="1200" r:id="rId1"/>
  <headerFooter alignWithMargins="0">
    <oddHeader>&amp;C&amp;"Arial,Bold"&amp;18&amp;A</oddHeader>
  </headerFooter>
  <rowBreaks count="3" manualBreakCount="3">
    <brk id="90" max="16383" man="1"/>
    <brk id="117" max="16383" man="1"/>
    <brk id="1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4"/>
    <pageSetUpPr fitToPage="1"/>
  </sheetPr>
  <dimension ref="A1:BY94"/>
  <sheetViews>
    <sheetView zoomScale="75" zoomScaleNormal="75" workbookViewId="0">
      <pane ySplit="8" topLeftCell="A75" activePane="bottomLeft" state="frozenSplit"/>
      <selection pane="bottomLeft" activeCell="D87" sqref="D87"/>
    </sheetView>
  </sheetViews>
  <sheetFormatPr defaultRowHeight="12.75"/>
  <cols>
    <col min="1" max="1" width="28" customWidth="1"/>
    <col min="2" max="2" width="11.7109375" customWidth="1"/>
    <col min="3" max="17" width="16" customWidth="1"/>
  </cols>
  <sheetData>
    <row r="1" spans="1:77" ht="15.75">
      <c r="A1" s="81" t="s">
        <v>140</v>
      </c>
      <c r="B1" s="603" t="str">
        <f ca="1">DataFileName</f>
        <v>SRCE_Cost_data-USR_1_12_AustExample.xlsm</v>
      </c>
      <c r="C1" s="604"/>
      <c r="D1" s="123"/>
      <c r="E1" s="122"/>
    </row>
    <row r="2" spans="1:77" ht="15.75">
      <c r="A2" s="82" t="s">
        <v>141</v>
      </c>
      <c r="B2" s="605">
        <f>DataFileDate</f>
        <v>39720</v>
      </c>
      <c r="C2" s="606"/>
      <c r="D2" s="390"/>
      <c r="E2" s="245"/>
    </row>
    <row r="3" spans="1:77" s="1" customFormat="1" ht="15.75">
      <c r="A3" s="82" t="s">
        <v>143</v>
      </c>
      <c r="B3" s="607" t="str">
        <f>DataCostBasis</f>
        <v>User Data</v>
      </c>
      <c r="C3" s="608"/>
      <c r="D3" s="390"/>
      <c r="E3" s="245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J3" s="2"/>
      <c r="BV3" s="4"/>
      <c r="BW3" s="4"/>
      <c r="BX3" s="4"/>
      <c r="BY3" s="4"/>
    </row>
    <row r="4" spans="1:77" s="1" customFormat="1" ht="16.5" thickBot="1">
      <c r="A4" s="83" t="s">
        <v>144</v>
      </c>
      <c r="B4" s="391" t="str">
        <f>AuthorSource</f>
        <v>AB Consulting</v>
      </c>
      <c r="C4" s="392"/>
      <c r="D4" s="392"/>
      <c r="E4" s="393"/>
      <c r="F4" s="3"/>
      <c r="G4" s="3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J4" s="2"/>
      <c r="BV4" s="4"/>
      <c r="BW4" s="4"/>
      <c r="BX4" s="4"/>
      <c r="BY4" s="4"/>
    </row>
    <row r="5" spans="1:77" s="1" customFormat="1" ht="16.5" thickBot="1">
      <c r="A5" s="102"/>
      <c r="B5"/>
      <c r="C5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J5" s="2"/>
      <c r="BV5" s="4"/>
      <c r="BW5" s="4"/>
      <c r="BX5" s="4"/>
      <c r="BY5" s="4"/>
    </row>
    <row r="6" spans="1:77" ht="24" thickBot="1">
      <c r="A6" s="7" t="s">
        <v>148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8"/>
      <c r="P6" s="8"/>
      <c r="Q6" s="9"/>
    </row>
    <row r="7" spans="1:77" ht="15.75">
      <c r="A7" s="632" t="s">
        <v>147</v>
      </c>
      <c r="B7" s="633"/>
      <c r="C7" s="103" t="s">
        <v>259</v>
      </c>
      <c r="D7" s="103" t="s">
        <v>260</v>
      </c>
      <c r="E7" s="103" t="s">
        <v>261</v>
      </c>
      <c r="F7" s="103" t="s">
        <v>262</v>
      </c>
      <c r="G7" s="103" t="s">
        <v>263</v>
      </c>
      <c r="H7" s="103" t="s">
        <v>264</v>
      </c>
      <c r="I7" s="103" t="s">
        <v>265</v>
      </c>
      <c r="J7" s="103" t="s">
        <v>266</v>
      </c>
      <c r="K7" s="103" t="s">
        <v>267</v>
      </c>
      <c r="L7" s="103" t="s">
        <v>268</v>
      </c>
      <c r="M7" s="103" t="s">
        <v>269</v>
      </c>
      <c r="N7" s="103" t="s">
        <v>270</v>
      </c>
      <c r="O7" s="103" t="s">
        <v>271</v>
      </c>
      <c r="P7" s="103" t="s">
        <v>272</v>
      </c>
      <c r="Q7" s="220" t="s">
        <v>273</v>
      </c>
    </row>
    <row r="8" spans="1:77" s="415" customFormat="1" ht="30" customHeight="1" thickBot="1">
      <c r="A8" s="601"/>
      <c r="B8" s="634"/>
      <c r="C8" s="416" t="str">
        <f t="shared" ref="C8:Q8" si="0">IF(ISBLANK(VLOOKUP(C7,RegionNames,2,FALSE)),"",VLOOKUP(C7,RegionNames,2,FALSE))</f>
        <v>WA ARO</v>
      </c>
      <c r="D8" s="416" t="str">
        <f t="shared" si="0"/>
        <v>WA LOM - site costs</v>
      </c>
      <c r="E8" s="416" t="str">
        <f t="shared" si="0"/>
        <v/>
      </c>
      <c r="F8" s="416" t="str">
        <f t="shared" si="0"/>
        <v/>
      </c>
      <c r="G8" s="416" t="str">
        <f t="shared" si="0"/>
        <v/>
      </c>
      <c r="H8" s="416" t="str">
        <f t="shared" si="0"/>
        <v/>
      </c>
      <c r="I8" s="416" t="str">
        <f t="shared" si="0"/>
        <v/>
      </c>
      <c r="J8" s="416" t="str">
        <f t="shared" si="0"/>
        <v/>
      </c>
      <c r="K8" s="416" t="str">
        <f t="shared" si="0"/>
        <v/>
      </c>
      <c r="L8" s="416" t="str">
        <f t="shared" si="0"/>
        <v/>
      </c>
      <c r="M8" s="416" t="str">
        <f t="shared" si="0"/>
        <v/>
      </c>
      <c r="N8" s="416" t="str">
        <f t="shared" si="0"/>
        <v/>
      </c>
      <c r="O8" s="416" t="str">
        <f t="shared" si="0"/>
        <v/>
      </c>
      <c r="P8" s="416" t="str">
        <f t="shared" si="0"/>
        <v/>
      </c>
      <c r="Q8" s="407" t="str">
        <f t="shared" si="0"/>
        <v/>
      </c>
    </row>
    <row r="9" spans="1:77" ht="18.75" thickBot="1">
      <c r="A9" s="41" t="s">
        <v>82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223"/>
      <c r="AA9" s="42"/>
      <c r="AB9" s="42"/>
      <c r="AC9" s="35"/>
    </row>
    <row r="10" spans="1:77" ht="16.5" thickBot="1">
      <c r="A10" s="43" t="s">
        <v>85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5"/>
      <c r="AA10" s="42"/>
      <c r="AB10" s="42"/>
      <c r="AC10" s="48"/>
    </row>
    <row r="11" spans="1:77" ht="13.5" thickBot="1">
      <c r="A11" s="49" t="s">
        <v>89</v>
      </c>
      <c r="B11" s="50" t="s">
        <v>87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222"/>
    </row>
    <row r="12" spans="1:77">
      <c r="A12" s="52" t="s">
        <v>91</v>
      </c>
      <c r="B12" s="94"/>
      <c r="C12" s="329"/>
      <c r="D12" s="418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30"/>
    </row>
    <row r="13" spans="1:77">
      <c r="A13" s="52" t="s">
        <v>92</v>
      </c>
      <c r="B13" s="94" t="str">
        <f t="shared" ref="B13:B21" si="1">IF(Metric,"Cost/Ha","Cost/Acre")</f>
        <v>Cost/Ha</v>
      </c>
      <c r="C13" s="331">
        <v>696.3</v>
      </c>
      <c r="D13" s="472">
        <v>1200</v>
      </c>
      <c r="E13" s="331"/>
      <c r="F13" s="331"/>
      <c r="G13" s="331"/>
      <c r="H13" s="329"/>
      <c r="I13" s="329"/>
      <c r="J13" s="329"/>
      <c r="K13" s="329"/>
      <c r="L13" s="329"/>
      <c r="M13" s="329"/>
      <c r="N13" s="329"/>
      <c r="O13" s="329"/>
      <c r="P13" s="329"/>
      <c r="Q13" s="330"/>
    </row>
    <row r="14" spans="1:77">
      <c r="A14" s="52" t="s">
        <v>93</v>
      </c>
      <c r="B14" s="94" t="str">
        <f t="shared" si="1"/>
        <v>Cost/Ha</v>
      </c>
      <c r="C14" s="331">
        <v>749.86</v>
      </c>
      <c r="D14" s="472"/>
      <c r="E14" s="331"/>
      <c r="F14" s="331"/>
      <c r="G14" s="331"/>
      <c r="H14" s="329"/>
      <c r="I14" s="329"/>
      <c r="J14" s="329"/>
      <c r="K14" s="329"/>
      <c r="L14" s="329"/>
      <c r="M14" s="329"/>
      <c r="N14" s="329"/>
      <c r="O14" s="329"/>
      <c r="P14" s="329"/>
      <c r="Q14" s="330"/>
    </row>
    <row r="15" spans="1:77">
      <c r="A15" s="52" t="s">
        <v>94</v>
      </c>
      <c r="B15" s="94" t="str">
        <f t="shared" si="1"/>
        <v>Cost/Ha</v>
      </c>
      <c r="C15" s="331">
        <v>803.42</v>
      </c>
      <c r="D15" s="472"/>
      <c r="E15" s="331"/>
      <c r="F15" s="331"/>
      <c r="G15" s="331"/>
      <c r="H15" s="329"/>
      <c r="I15" s="329"/>
      <c r="J15" s="329"/>
      <c r="K15" s="329"/>
      <c r="L15" s="329"/>
      <c r="M15" s="329"/>
      <c r="N15" s="329"/>
      <c r="O15" s="329"/>
      <c r="P15" s="329"/>
      <c r="Q15" s="330"/>
    </row>
    <row r="16" spans="1:77">
      <c r="A16" s="52" t="s">
        <v>238</v>
      </c>
      <c r="B16" s="94" t="str">
        <f t="shared" si="1"/>
        <v>Cost/Ha</v>
      </c>
      <c r="C16" s="331">
        <v>856.98</v>
      </c>
      <c r="D16" s="472">
        <v>1570</v>
      </c>
      <c r="E16" s="331"/>
      <c r="F16" s="331"/>
      <c r="G16" s="331"/>
      <c r="H16" s="329"/>
      <c r="I16" s="329"/>
      <c r="J16" s="329"/>
      <c r="K16" s="329"/>
      <c r="L16" s="329"/>
      <c r="M16" s="329"/>
      <c r="N16" s="329"/>
      <c r="O16" s="329"/>
      <c r="P16" s="329"/>
      <c r="Q16" s="330"/>
    </row>
    <row r="17" spans="1:28">
      <c r="A17" s="52" t="s">
        <v>223</v>
      </c>
      <c r="B17" s="94" t="str">
        <f t="shared" si="1"/>
        <v>Cost/Ha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70"/>
    </row>
    <row r="18" spans="1:28">
      <c r="A18" s="52" t="s">
        <v>224</v>
      </c>
      <c r="B18" s="94" t="str">
        <f t="shared" si="1"/>
        <v>Cost/Ha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70"/>
    </row>
    <row r="19" spans="1:28">
      <c r="A19" s="52" t="s">
        <v>225</v>
      </c>
      <c r="B19" s="94" t="str">
        <f t="shared" si="1"/>
        <v>Cost/Ha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70"/>
    </row>
    <row r="20" spans="1:28">
      <c r="A20" s="52" t="s">
        <v>226</v>
      </c>
      <c r="B20" s="94" t="str">
        <f t="shared" si="1"/>
        <v>Cost/Ha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70"/>
    </row>
    <row r="21" spans="1:28" ht="13.5" thickBot="1">
      <c r="A21" s="216" t="s">
        <v>227</v>
      </c>
      <c r="B21" s="354" t="str">
        <f t="shared" si="1"/>
        <v>Cost/Ha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70"/>
    </row>
    <row r="22" spans="1:28" ht="36.75" thickBot="1">
      <c r="A22" s="92"/>
      <c r="B22" s="99" t="s">
        <v>81</v>
      </c>
      <c r="C22" s="332" t="s">
        <v>416</v>
      </c>
      <c r="D22" s="332" t="s">
        <v>413</v>
      </c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3"/>
    </row>
    <row r="23" spans="1:28" ht="16.5" thickBot="1">
      <c r="A23" s="43" t="s">
        <v>95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5"/>
      <c r="S23" s="3"/>
      <c r="T23" s="56"/>
      <c r="U23" s="59"/>
      <c r="V23" s="59"/>
      <c r="W23" s="60"/>
      <c r="X23" s="57"/>
      <c r="Y23" s="58"/>
      <c r="Z23" s="54"/>
      <c r="AA23" s="54"/>
      <c r="AB23" s="55"/>
    </row>
    <row r="24" spans="1:28" ht="13.5" thickBot="1">
      <c r="A24" s="49" t="s">
        <v>96</v>
      </c>
      <c r="B24" s="50" t="s">
        <v>87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222"/>
    </row>
    <row r="25" spans="1:28">
      <c r="A25" s="51" t="s">
        <v>91</v>
      </c>
      <c r="B25" s="96"/>
      <c r="C25" s="356"/>
      <c r="D25" s="473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7"/>
    </row>
    <row r="26" spans="1:28" ht="12.75" customHeight="1">
      <c r="A26" s="52" t="s">
        <v>98</v>
      </c>
      <c r="B26" s="231" t="str">
        <f>IF(Metric,"Cost/kg","Cost/lb")</f>
        <v>Cost/kg</v>
      </c>
      <c r="C26" s="331">
        <v>32.14</v>
      </c>
      <c r="D26" s="472">
        <v>21.52</v>
      </c>
      <c r="E26" s="331"/>
      <c r="F26" s="331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30"/>
    </row>
    <row r="27" spans="1:28">
      <c r="A27" s="52" t="s">
        <v>99</v>
      </c>
      <c r="B27" s="231" t="str">
        <f>IF(Metric,"Cost/kg","Cost/lb")</f>
        <v>Cost/kg</v>
      </c>
      <c r="C27" s="331">
        <v>10.71</v>
      </c>
      <c r="D27" s="472">
        <v>15.51</v>
      </c>
      <c r="E27" s="331"/>
      <c r="F27" s="331"/>
      <c r="G27" s="331"/>
      <c r="H27" s="329"/>
      <c r="I27" s="329"/>
      <c r="J27" s="329"/>
      <c r="K27" s="329"/>
      <c r="L27" s="329"/>
      <c r="M27" s="329"/>
      <c r="N27" s="329"/>
      <c r="O27" s="329"/>
      <c r="P27" s="329"/>
      <c r="Q27" s="330"/>
    </row>
    <row r="28" spans="1:28" ht="12.75" customHeight="1">
      <c r="A28" s="336" t="s">
        <v>364</v>
      </c>
      <c r="B28" s="94" t="str">
        <f>IF(Metric,"Cost/kg","Cost/lb")</f>
        <v>Cost/kg</v>
      </c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30"/>
    </row>
    <row r="29" spans="1:28" ht="12.75" customHeight="1">
      <c r="A29" s="336"/>
      <c r="B29" s="94" t="str">
        <f>IF(Metric,"Cost/kg","Cost/lb")</f>
        <v>Cost/kg</v>
      </c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30"/>
    </row>
    <row r="30" spans="1:28" ht="13.5" thickBot="1">
      <c r="A30" s="339"/>
      <c r="B30" s="354" t="str">
        <f>IF(Metric,"Cost/kg","Cost/lb")</f>
        <v>Cost/kg</v>
      </c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9"/>
    </row>
    <row r="31" spans="1:28">
      <c r="A31" s="225"/>
      <c r="B31" s="99" t="s">
        <v>81</v>
      </c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4"/>
    </row>
    <row r="32" spans="1:28">
      <c r="A32" s="100"/>
      <c r="B32" s="35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5"/>
    </row>
    <row r="33" spans="1:22" ht="13.5" thickBot="1">
      <c r="A33" s="100"/>
      <c r="B33" s="35"/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5"/>
    </row>
    <row r="34" spans="1:22" ht="16.5" thickBot="1">
      <c r="A34" s="43" t="s">
        <v>102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5"/>
      <c r="S34" s="56"/>
      <c r="T34" s="56"/>
      <c r="U34" s="59"/>
      <c r="V34" s="59"/>
    </row>
    <row r="35" spans="1:22" ht="13.5" thickBot="1">
      <c r="A35" s="49" t="s">
        <v>96</v>
      </c>
      <c r="B35" s="50" t="s">
        <v>87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222"/>
    </row>
    <row r="36" spans="1:22">
      <c r="A36" s="52" t="s">
        <v>91</v>
      </c>
      <c r="B36" s="94"/>
      <c r="C36" s="329"/>
      <c r="D36" s="418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30"/>
    </row>
    <row r="37" spans="1:22">
      <c r="A37" s="52" t="s">
        <v>103</v>
      </c>
      <c r="B37" s="94" t="str">
        <f t="shared" ref="B37:B42" si="2">IF(Metric,"Cost/kg","Cost/lb")</f>
        <v>Cost/kg</v>
      </c>
      <c r="C37" s="331">
        <v>0.27</v>
      </c>
      <c r="D37" s="472">
        <v>0.26</v>
      </c>
      <c r="E37" s="331"/>
      <c r="F37" s="331"/>
      <c r="G37" s="331"/>
      <c r="H37" s="329"/>
      <c r="I37" s="329"/>
      <c r="J37" s="329"/>
      <c r="K37" s="329"/>
      <c r="L37" s="329"/>
      <c r="M37" s="329"/>
      <c r="N37" s="329"/>
      <c r="O37" s="329"/>
      <c r="P37" s="329"/>
      <c r="Q37" s="330"/>
    </row>
    <row r="38" spans="1:22">
      <c r="A38" s="52" t="s">
        <v>104</v>
      </c>
      <c r="B38" s="94" t="str">
        <f t="shared" si="2"/>
        <v>Cost/kg</v>
      </c>
      <c r="C38" s="331"/>
      <c r="D38" s="472">
        <v>0.4</v>
      </c>
      <c r="E38" s="331"/>
      <c r="F38" s="331"/>
      <c r="G38" s="331"/>
      <c r="H38" s="329"/>
      <c r="I38" s="329"/>
      <c r="J38" s="329"/>
      <c r="K38" s="329"/>
      <c r="L38" s="329"/>
      <c r="M38" s="329"/>
      <c r="N38" s="329"/>
      <c r="O38" s="329"/>
      <c r="P38" s="329"/>
      <c r="Q38" s="330"/>
    </row>
    <row r="39" spans="1:22">
      <c r="A39" s="52" t="s">
        <v>134</v>
      </c>
      <c r="B39" s="94" t="str">
        <f t="shared" si="2"/>
        <v>Cost/kg</v>
      </c>
      <c r="C39" s="331">
        <v>1.1200000000000001</v>
      </c>
      <c r="D39" s="472">
        <v>1.1000000000000001</v>
      </c>
      <c r="E39" s="331"/>
      <c r="F39" s="331"/>
      <c r="G39" s="331"/>
      <c r="H39" s="329"/>
      <c r="I39" s="329"/>
      <c r="J39" s="329"/>
      <c r="K39" s="329"/>
      <c r="L39" s="329"/>
      <c r="M39" s="329"/>
      <c r="N39" s="329"/>
      <c r="O39" s="329"/>
      <c r="P39" s="329"/>
      <c r="Q39" s="330"/>
    </row>
    <row r="40" spans="1:22">
      <c r="A40" s="336"/>
      <c r="B40" s="94" t="str">
        <f t="shared" si="2"/>
        <v>Cost/kg</v>
      </c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30"/>
    </row>
    <row r="41" spans="1:22">
      <c r="A41" s="336"/>
      <c r="B41" s="94" t="str">
        <f t="shared" si="2"/>
        <v>Cost/kg</v>
      </c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30"/>
    </row>
    <row r="42" spans="1:22" ht="13.5" thickBot="1">
      <c r="A42" s="336"/>
      <c r="B42" s="354" t="str">
        <f t="shared" si="2"/>
        <v>Cost/kg</v>
      </c>
      <c r="C42" s="329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30"/>
    </row>
    <row r="43" spans="1:22" ht="36">
      <c r="A43" s="101"/>
      <c r="B43" s="99" t="s">
        <v>81</v>
      </c>
      <c r="C43" s="332" t="s">
        <v>417</v>
      </c>
      <c r="D43" s="332" t="s">
        <v>413</v>
      </c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3"/>
    </row>
    <row r="44" spans="1:22">
      <c r="A44" s="100"/>
      <c r="B44" s="35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5"/>
    </row>
    <row r="45" spans="1:22" ht="13.5" thickBot="1">
      <c r="A45" s="100"/>
      <c r="B45" s="35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5"/>
    </row>
    <row r="46" spans="1:22" ht="18.75" thickBot="1">
      <c r="A46" s="41" t="s">
        <v>83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223"/>
    </row>
    <row r="47" spans="1:22" ht="13.5" thickBot="1">
      <c r="A47" s="46" t="s">
        <v>86</v>
      </c>
      <c r="B47" s="47" t="s">
        <v>87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222"/>
    </row>
    <row r="48" spans="1:22">
      <c r="A48" s="51"/>
      <c r="B48" s="96"/>
      <c r="C48" s="352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3"/>
    </row>
    <row r="49" spans="1:17">
      <c r="A49" s="52" t="s">
        <v>90</v>
      </c>
      <c r="B49" s="94" t="str">
        <f>IF(Metric,"20kg bag","50lb bag")</f>
        <v>20kg bag</v>
      </c>
      <c r="C49" s="329">
        <v>7.66</v>
      </c>
      <c r="D49" s="418">
        <v>7.66</v>
      </c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30"/>
    </row>
    <row r="50" spans="1:17">
      <c r="A50" s="52" t="s">
        <v>133</v>
      </c>
      <c r="B50" s="94" t="str">
        <f>IF(Metric,"20kg bag","50lb bag")</f>
        <v>20kg bag</v>
      </c>
      <c r="C50" s="329">
        <v>38.28</v>
      </c>
      <c r="D50" s="418">
        <v>36.28</v>
      </c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  <c r="Q50" s="330"/>
    </row>
    <row r="51" spans="1:17">
      <c r="A51" s="52" t="s">
        <v>132</v>
      </c>
      <c r="B51" s="94" t="str">
        <f>IF(Metric,"m3","cy")</f>
        <v>m3</v>
      </c>
      <c r="C51" s="329">
        <v>27</v>
      </c>
      <c r="D51" s="418">
        <v>26</v>
      </c>
      <c r="E51" s="329"/>
      <c r="F51" s="329"/>
      <c r="G51" s="329"/>
      <c r="H51" s="329"/>
      <c r="I51" s="329"/>
      <c r="J51" s="329"/>
      <c r="K51" s="329"/>
      <c r="L51" s="329"/>
      <c r="M51" s="329"/>
      <c r="N51" s="329"/>
      <c r="O51" s="329"/>
      <c r="P51" s="329"/>
      <c r="Q51" s="330"/>
    </row>
    <row r="52" spans="1:17">
      <c r="A52" s="336"/>
      <c r="B52" s="399"/>
      <c r="C52" s="329"/>
      <c r="D52" s="329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29"/>
      <c r="Q52" s="330"/>
    </row>
    <row r="53" spans="1:17" ht="13.5" thickBot="1">
      <c r="A53" s="339"/>
      <c r="B53" s="400"/>
      <c r="C53" s="329"/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329"/>
      <c r="Q53" s="330"/>
    </row>
    <row r="54" spans="1:17" ht="24">
      <c r="A54" s="100"/>
      <c r="B54" s="98" t="s">
        <v>81</v>
      </c>
      <c r="C54" s="332"/>
      <c r="D54" s="332" t="s">
        <v>414</v>
      </c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332"/>
      <c r="P54" s="332"/>
      <c r="Q54" s="333"/>
    </row>
    <row r="55" spans="1:17">
      <c r="A55" s="100"/>
      <c r="B55" s="35"/>
      <c r="C55" s="334"/>
      <c r="D55" s="33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5"/>
    </row>
    <row r="56" spans="1:17" ht="13.5" thickBot="1">
      <c r="A56" s="30"/>
      <c r="B56" s="39"/>
      <c r="C56" s="337"/>
      <c r="D56" s="337"/>
      <c r="E56" s="337"/>
      <c r="F56" s="337"/>
      <c r="G56" s="337"/>
      <c r="H56" s="337"/>
      <c r="I56" s="337"/>
      <c r="J56" s="337"/>
      <c r="K56" s="337"/>
      <c r="L56" s="337"/>
      <c r="M56" s="337"/>
      <c r="N56" s="337"/>
      <c r="O56" s="337"/>
      <c r="P56" s="337"/>
      <c r="Q56" s="338"/>
    </row>
    <row r="57" spans="1:17" ht="18.75" thickBot="1">
      <c r="A57" s="36" t="s">
        <v>97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221"/>
    </row>
    <row r="58" spans="1:17" ht="13.5" thickBot="1">
      <c r="A58" s="49" t="s">
        <v>86</v>
      </c>
      <c r="B58" s="50" t="s">
        <v>87</v>
      </c>
      <c r="C58" s="95" t="s">
        <v>88</v>
      </c>
      <c r="D58" s="95" t="s">
        <v>88</v>
      </c>
      <c r="E58" s="95" t="s">
        <v>88</v>
      </c>
      <c r="F58" s="95" t="s">
        <v>88</v>
      </c>
      <c r="G58" s="95" t="s">
        <v>88</v>
      </c>
      <c r="H58" s="95" t="s">
        <v>88</v>
      </c>
      <c r="I58" s="95" t="s">
        <v>88</v>
      </c>
      <c r="J58" s="95" t="s">
        <v>88</v>
      </c>
      <c r="K58" s="95" t="s">
        <v>88</v>
      </c>
      <c r="L58" s="95" t="s">
        <v>88</v>
      </c>
      <c r="M58" s="95" t="s">
        <v>88</v>
      </c>
      <c r="N58" s="95" t="s">
        <v>88</v>
      </c>
      <c r="O58" s="95" t="s">
        <v>88</v>
      </c>
      <c r="P58" s="95" t="s">
        <v>88</v>
      </c>
      <c r="Q58" s="222" t="s">
        <v>88</v>
      </c>
    </row>
    <row r="59" spans="1:17">
      <c r="A59" s="51"/>
      <c r="B59" s="96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30"/>
    </row>
    <row r="60" spans="1:17">
      <c r="A60" s="463" t="s">
        <v>100</v>
      </c>
      <c r="B60" s="94" t="s">
        <v>131</v>
      </c>
      <c r="C60" s="331">
        <v>1467.22</v>
      </c>
      <c r="D60" s="472">
        <v>1467.22</v>
      </c>
      <c r="E60" s="331"/>
      <c r="F60" s="331"/>
      <c r="G60" s="331"/>
      <c r="H60" s="329"/>
      <c r="I60" s="329"/>
      <c r="J60" s="329"/>
      <c r="K60" s="329"/>
      <c r="L60" s="329"/>
      <c r="M60" s="329"/>
      <c r="N60" s="329"/>
      <c r="O60" s="329"/>
      <c r="P60" s="329"/>
      <c r="Q60" s="330"/>
    </row>
    <row r="61" spans="1:17">
      <c r="A61" t="s">
        <v>101</v>
      </c>
      <c r="B61" s="94" t="s">
        <v>131</v>
      </c>
      <c r="C61" s="331">
        <v>43.63</v>
      </c>
      <c r="D61" s="472">
        <v>43.63</v>
      </c>
      <c r="E61" s="331"/>
      <c r="F61" s="331"/>
      <c r="G61" s="331"/>
      <c r="H61" s="329"/>
      <c r="I61" s="329"/>
      <c r="J61" s="329"/>
      <c r="K61" s="329"/>
      <c r="L61" s="329"/>
      <c r="M61" s="329"/>
      <c r="N61" s="329"/>
      <c r="O61" s="329"/>
      <c r="P61" s="329"/>
      <c r="Q61" s="330"/>
    </row>
    <row r="62" spans="1:17">
      <c r="A62" s="52"/>
      <c r="B62" s="94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70"/>
    </row>
    <row r="63" spans="1:17">
      <c r="A63" s="406" t="s">
        <v>418</v>
      </c>
      <c r="B63" s="94" t="s">
        <v>131</v>
      </c>
      <c r="C63" s="331">
        <v>486.21</v>
      </c>
      <c r="D63" s="472">
        <v>486.21</v>
      </c>
      <c r="E63" s="331"/>
      <c r="F63" s="331"/>
      <c r="G63" s="331"/>
      <c r="H63" s="329"/>
      <c r="I63" s="329"/>
      <c r="J63" s="329"/>
      <c r="K63" s="329"/>
      <c r="L63" s="329"/>
      <c r="M63" s="329"/>
      <c r="N63" s="329"/>
      <c r="O63" s="329"/>
      <c r="P63" s="329"/>
      <c r="Q63" s="330"/>
    </row>
    <row r="64" spans="1:17">
      <c r="A64" s="406" t="s">
        <v>419</v>
      </c>
      <c r="B64" s="94" t="s">
        <v>131</v>
      </c>
      <c r="C64" s="331">
        <v>109.09</v>
      </c>
      <c r="D64" s="472">
        <v>109.09</v>
      </c>
      <c r="E64" s="331"/>
      <c r="F64" s="331"/>
      <c r="G64" s="331"/>
      <c r="H64" s="329"/>
      <c r="I64" s="329"/>
      <c r="J64" s="329"/>
      <c r="K64" s="329"/>
      <c r="L64" s="329"/>
      <c r="M64" s="329"/>
      <c r="N64" s="329"/>
      <c r="O64" s="329"/>
      <c r="P64" s="329"/>
      <c r="Q64" s="330"/>
    </row>
    <row r="65" spans="1:17">
      <c r="A65" s="406" t="s">
        <v>420</v>
      </c>
      <c r="B65" s="94" t="s">
        <v>131</v>
      </c>
      <c r="C65" s="329">
        <v>38.950000000000003</v>
      </c>
      <c r="D65" s="418">
        <v>38.950000000000003</v>
      </c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30"/>
    </row>
    <row r="66" spans="1:17">
      <c r="A66" s="406" t="s">
        <v>421</v>
      </c>
      <c r="B66" s="94" t="s">
        <v>131</v>
      </c>
      <c r="C66" s="329">
        <v>32.729999999999997</v>
      </c>
      <c r="D66" s="418">
        <v>32.729999999999997</v>
      </c>
      <c r="E66" s="329"/>
      <c r="F66" s="329"/>
      <c r="G66" s="329"/>
      <c r="H66" s="329"/>
      <c r="I66" s="329"/>
      <c r="J66" s="329"/>
      <c r="K66" s="329"/>
      <c r="L66" s="329"/>
      <c r="M66" s="329"/>
      <c r="N66" s="329"/>
      <c r="O66" s="329"/>
      <c r="P66" s="329"/>
      <c r="Q66" s="330"/>
    </row>
    <row r="67" spans="1:17">
      <c r="A67" s="406" t="s">
        <v>422</v>
      </c>
      <c r="B67" s="94" t="s">
        <v>131</v>
      </c>
      <c r="C67" s="329">
        <v>43.63</v>
      </c>
      <c r="D67" s="418">
        <v>43.63</v>
      </c>
      <c r="E67" s="329"/>
      <c r="F67" s="329"/>
      <c r="G67" s="329"/>
      <c r="H67" s="329"/>
      <c r="I67" s="329"/>
      <c r="J67" s="329"/>
      <c r="K67" s="329"/>
      <c r="L67" s="329"/>
      <c r="M67" s="329"/>
      <c r="N67" s="329"/>
      <c r="O67" s="329"/>
      <c r="P67" s="329"/>
      <c r="Q67" s="330"/>
    </row>
    <row r="68" spans="1:17">
      <c r="A68" s="336" t="s">
        <v>423</v>
      </c>
      <c r="B68" s="94" t="s">
        <v>131</v>
      </c>
      <c r="C68" s="329">
        <v>38.950000000000003</v>
      </c>
      <c r="D68" s="418"/>
      <c r="E68" s="329"/>
      <c r="F68" s="329"/>
      <c r="G68" s="329"/>
      <c r="H68" s="329"/>
      <c r="I68" s="329"/>
      <c r="J68" s="329"/>
      <c r="K68" s="329"/>
      <c r="L68" s="329"/>
      <c r="M68" s="329"/>
      <c r="N68" s="329"/>
      <c r="O68" s="329"/>
      <c r="P68" s="329"/>
      <c r="Q68" s="330"/>
    </row>
    <row r="69" spans="1:17">
      <c r="A69" s="336" t="s">
        <v>424</v>
      </c>
      <c r="B69" s="94" t="s">
        <v>131</v>
      </c>
      <c r="C69" s="329">
        <v>77.92</v>
      </c>
      <c r="D69" s="418">
        <v>77.92</v>
      </c>
      <c r="E69" s="329"/>
      <c r="F69" s="329"/>
      <c r="G69" s="329"/>
      <c r="H69" s="329"/>
      <c r="I69" s="329"/>
      <c r="J69" s="329"/>
      <c r="K69" s="329"/>
      <c r="L69" s="329"/>
      <c r="M69" s="329"/>
      <c r="N69" s="329"/>
      <c r="O69" s="329"/>
      <c r="P69" s="329"/>
      <c r="Q69" s="330"/>
    </row>
    <row r="70" spans="1:17">
      <c r="A70" s="336" t="s">
        <v>425</v>
      </c>
      <c r="B70" s="94" t="s">
        <v>131</v>
      </c>
      <c r="C70" s="329">
        <v>9887.85</v>
      </c>
      <c r="D70" s="418"/>
      <c r="E70" s="329"/>
      <c r="F70" s="329"/>
      <c r="G70" s="329"/>
      <c r="H70" s="329"/>
      <c r="I70" s="329"/>
      <c r="J70" s="329"/>
      <c r="K70" s="329"/>
      <c r="L70" s="329"/>
      <c r="M70" s="329"/>
      <c r="N70" s="329"/>
      <c r="O70" s="329"/>
      <c r="P70" s="329"/>
      <c r="Q70" s="330"/>
    </row>
    <row r="71" spans="1:17">
      <c r="A71" s="336" t="s">
        <v>426</v>
      </c>
      <c r="B71" s="94" t="s">
        <v>131</v>
      </c>
      <c r="C71" s="329">
        <v>19612.07</v>
      </c>
      <c r="D71" s="418"/>
      <c r="E71" s="329"/>
      <c r="F71" s="329"/>
      <c r="G71" s="329"/>
      <c r="H71" s="329"/>
      <c r="I71" s="329"/>
      <c r="J71" s="329"/>
      <c r="K71" s="329"/>
      <c r="L71" s="329"/>
      <c r="M71" s="329"/>
      <c r="N71" s="329"/>
      <c r="O71" s="329"/>
      <c r="P71" s="329"/>
      <c r="Q71" s="330"/>
    </row>
    <row r="72" spans="1:17">
      <c r="A72" s="336" t="s">
        <v>427</v>
      </c>
      <c r="B72" s="94" t="s">
        <v>131</v>
      </c>
      <c r="C72" s="329">
        <v>27.27</v>
      </c>
      <c r="D72" s="418">
        <v>27.27</v>
      </c>
      <c r="E72" s="329"/>
      <c r="F72" s="329"/>
      <c r="G72" s="329"/>
      <c r="H72" s="329"/>
      <c r="I72" s="329"/>
      <c r="J72" s="329"/>
      <c r="K72" s="329"/>
      <c r="L72" s="329"/>
      <c r="M72" s="329"/>
      <c r="N72" s="329"/>
      <c r="O72" s="329"/>
      <c r="P72" s="329"/>
      <c r="Q72" s="330"/>
    </row>
    <row r="73" spans="1:17">
      <c r="A73" s="336" t="s">
        <v>428</v>
      </c>
      <c r="B73" s="94" t="s">
        <v>131</v>
      </c>
      <c r="C73" s="329">
        <v>540.75</v>
      </c>
      <c r="D73" s="418">
        <v>540.75</v>
      </c>
      <c r="E73" s="329"/>
      <c r="F73" s="329"/>
      <c r="G73" s="329"/>
      <c r="H73" s="329"/>
      <c r="I73" s="329"/>
      <c r="J73" s="329"/>
      <c r="K73" s="329"/>
      <c r="L73" s="329"/>
      <c r="M73" s="329"/>
      <c r="N73" s="329"/>
      <c r="O73" s="329"/>
      <c r="P73" s="329"/>
      <c r="Q73" s="330"/>
    </row>
    <row r="74" spans="1:17">
      <c r="A74" s="336" t="s">
        <v>429</v>
      </c>
      <c r="B74" s="94" t="s">
        <v>131</v>
      </c>
      <c r="C74" s="329">
        <v>540.75</v>
      </c>
      <c r="D74" s="418">
        <v>540.75</v>
      </c>
      <c r="E74" s="329"/>
      <c r="F74" s="329"/>
      <c r="G74" s="329"/>
      <c r="H74" s="329"/>
      <c r="I74" s="329"/>
      <c r="J74" s="329"/>
      <c r="K74" s="329"/>
      <c r="L74" s="329"/>
      <c r="M74" s="329"/>
      <c r="N74" s="329"/>
      <c r="O74" s="329"/>
      <c r="P74" s="329"/>
      <c r="Q74" s="330"/>
    </row>
    <row r="75" spans="1:17">
      <c r="A75" s="336" t="s">
        <v>430</v>
      </c>
      <c r="B75" s="94" t="s">
        <v>131</v>
      </c>
      <c r="C75" s="329">
        <v>540.75</v>
      </c>
      <c r="D75" s="418">
        <v>540.75</v>
      </c>
      <c r="E75" s="329"/>
      <c r="F75" s="329"/>
      <c r="G75" s="329"/>
      <c r="H75" s="329"/>
      <c r="I75" s="329"/>
      <c r="J75" s="329"/>
      <c r="K75" s="329"/>
      <c r="L75" s="329"/>
      <c r="M75" s="329"/>
      <c r="N75" s="329"/>
      <c r="O75" s="329"/>
      <c r="P75" s="329"/>
      <c r="Q75" s="330"/>
    </row>
    <row r="76" spans="1:17">
      <c r="A76" s="336" t="s">
        <v>431</v>
      </c>
      <c r="B76" s="94" t="s">
        <v>131</v>
      </c>
      <c r="C76" s="418">
        <v>163.63</v>
      </c>
      <c r="D76" s="418"/>
      <c r="E76" s="418"/>
      <c r="F76" s="418"/>
      <c r="G76" s="418"/>
      <c r="H76" s="341"/>
      <c r="I76" s="341"/>
      <c r="J76" s="341"/>
      <c r="K76" s="341"/>
      <c r="L76" s="341"/>
      <c r="M76" s="341"/>
      <c r="N76" s="341"/>
      <c r="O76" s="341"/>
      <c r="P76" s="341"/>
      <c r="Q76" s="342"/>
    </row>
    <row r="77" spans="1:17" ht="13.5" thickBot="1">
      <c r="A77" s="339"/>
      <c r="B77" s="354" t="s">
        <v>131</v>
      </c>
      <c r="C77" s="340"/>
      <c r="D77" s="340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55"/>
    </row>
    <row r="78" spans="1:17">
      <c r="A78" s="100"/>
      <c r="B78" s="99" t="s">
        <v>81</v>
      </c>
      <c r="C78" s="348"/>
      <c r="D78" s="348" t="s">
        <v>413</v>
      </c>
      <c r="E78" s="348"/>
      <c r="F78" s="348"/>
      <c r="G78" s="348"/>
      <c r="H78" s="343"/>
      <c r="I78" s="343"/>
      <c r="J78" s="343"/>
      <c r="K78" s="343"/>
      <c r="L78" s="343"/>
      <c r="M78" s="343"/>
      <c r="N78" s="343"/>
      <c r="O78" s="343"/>
      <c r="P78" s="343"/>
      <c r="Q78" s="344"/>
    </row>
    <row r="79" spans="1:17">
      <c r="A79" s="100"/>
      <c r="B79" s="35"/>
      <c r="C79" s="348"/>
      <c r="D79" s="348"/>
      <c r="E79" s="348"/>
      <c r="F79" s="348"/>
      <c r="G79" s="348"/>
      <c r="H79" s="334"/>
      <c r="I79" s="334"/>
      <c r="J79" s="334"/>
      <c r="K79" s="334"/>
      <c r="L79" s="334"/>
      <c r="M79" s="334"/>
      <c r="N79" s="334"/>
      <c r="O79" s="334"/>
      <c r="P79" s="334"/>
      <c r="Q79" s="335"/>
    </row>
    <row r="80" spans="1:17" ht="13.5" thickBot="1">
      <c r="A80" s="100"/>
      <c r="B80" s="35"/>
      <c r="C80" s="334"/>
      <c r="D80" s="334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5"/>
    </row>
    <row r="81" spans="1:17" ht="18.75" thickBot="1">
      <c r="A81" s="227" t="s">
        <v>84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221"/>
    </row>
    <row r="82" spans="1:17" ht="13.5" thickBot="1">
      <c r="A82" s="228" t="s">
        <v>86</v>
      </c>
      <c r="B82" s="50" t="s">
        <v>87</v>
      </c>
      <c r="C82" s="95" t="s">
        <v>88</v>
      </c>
      <c r="D82" s="95" t="s">
        <v>88</v>
      </c>
      <c r="E82" s="95" t="s">
        <v>88</v>
      </c>
      <c r="F82" s="95" t="s">
        <v>88</v>
      </c>
      <c r="G82" s="95" t="s">
        <v>88</v>
      </c>
      <c r="H82" s="95" t="s">
        <v>88</v>
      </c>
      <c r="I82" s="95" t="s">
        <v>88</v>
      </c>
      <c r="J82" s="95" t="s">
        <v>88</v>
      </c>
      <c r="K82" s="95" t="s">
        <v>88</v>
      </c>
      <c r="L82" s="95" t="s">
        <v>88</v>
      </c>
      <c r="M82" s="95" t="s">
        <v>88</v>
      </c>
      <c r="N82" s="95" t="s">
        <v>88</v>
      </c>
      <c r="O82" s="95" t="s">
        <v>88</v>
      </c>
      <c r="P82" s="95" t="s">
        <v>88</v>
      </c>
      <c r="Q82" s="222" t="s">
        <v>88</v>
      </c>
    </row>
    <row r="83" spans="1:17">
      <c r="A83" s="51"/>
      <c r="B83" s="226"/>
      <c r="C83" s="329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30"/>
    </row>
    <row r="84" spans="1:17" ht="14.25">
      <c r="A84" s="52" t="s">
        <v>105</v>
      </c>
      <c r="B84" s="129" t="str">
        <f>IF(Metric,"$/litre","$/gal")</f>
        <v>$/litre</v>
      </c>
      <c r="C84" s="331">
        <v>0.8</v>
      </c>
      <c r="D84" s="472">
        <v>0.71</v>
      </c>
      <c r="E84" s="331"/>
      <c r="F84" s="331"/>
      <c r="G84" s="331"/>
      <c r="H84" s="329"/>
      <c r="I84" s="329"/>
      <c r="J84" s="329"/>
      <c r="K84" s="329"/>
      <c r="L84" s="329"/>
      <c r="M84" s="329"/>
      <c r="N84" s="329"/>
      <c r="O84" s="329"/>
      <c r="P84" s="329"/>
      <c r="Q84" s="330"/>
    </row>
    <row r="85" spans="1:17">
      <c r="A85" s="52" t="s">
        <v>319</v>
      </c>
      <c r="B85" s="129" t="str">
        <f>IF(Metric,"$km","$/mi")</f>
        <v>$km</v>
      </c>
      <c r="C85" s="331"/>
      <c r="D85" s="472"/>
      <c r="E85" s="331"/>
      <c r="F85" s="331"/>
      <c r="G85" s="331"/>
      <c r="H85" s="329"/>
      <c r="I85" s="329"/>
      <c r="J85" s="329"/>
      <c r="K85" s="329"/>
      <c r="L85" s="329"/>
      <c r="M85" s="329"/>
      <c r="N85" s="329"/>
      <c r="O85" s="329"/>
      <c r="P85" s="329"/>
      <c r="Q85" s="330"/>
    </row>
    <row r="86" spans="1:17">
      <c r="A86" s="52" t="s">
        <v>301</v>
      </c>
      <c r="B86" s="129" t="s">
        <v>302</v>
      </c>
      <c r="C86" s="345">
        <v>0.11</v>
      </c>
      <c r="D86" s="474">
        <v>0.11</v>
      </c>
      <c r="E86" s="345"/>
      <c r="F86" s="345"/>
      <c r="G86" s="345"/>
      <c r="H86" s="329"/>
      <c r="I86" s="329"/>
      <c r="J86" s="329"/>
      <c r="K86" s="329"/>
      <c r="L86" s="329"/>
      <c r="M86" s="329"/>
      <c r="N86" s="329"/>
      <c r="O86" s="329"/>
      <c r="P86" s="329"/>
      <c r="Q86" s="330"/>
    </row>
    <row r="87" spans="1:17">
      <c r="A87" s="336"/>
      <c r="B87" s="346"/>
      <c r="C87" s="329"/>
      <c r="D87" s="329"/>
      <c r="E87" s="329"/>
      <c r="F87" s="329"/>
      <c r="G87" s="329"/>
      <c r="H87" s="329"/>
      <c r="I87" s="329"/>
      <c r="J87" s="329"/>
      <c r="K87" s="329"/>
      <c r="L87" s="329"/>
      <c r="M87" s="329"/>
      <c r="N87" s="329"/>
      <c r="O87" s="329"/>
      <c r="P87" s="329"/>
      <c r="Q87" s="330"/>
    </row>
    <row r="88" spans="1:17">
      <c r="A88" s="336"/>
      <c r="B88" s="346"/>
      <c r="C88" s="329"/>
      <c r="D88" s="329"/>
      <c r="E88" s="329"/>
      <c r="F88" s="329"/>
      <c r="G88" s="329"/>
      <c r="H88" s="329"/>
      <c r="I88" s="329"/>
      <c r="J88" s="329"/>
      <c r="K88" s="329"/>
      <c r="L88" s="329"/>
      <c r="M88" s="329"/>
      <c r="N88" s="329"/>
      <c r="O88" s="329"/>
      <c r="P88" s="329"/>
      <c r="Q88" s="330"/>
    </row>
    <row r="89" spans="1:17">
      <c r="A89" s="336"/>
      <c r="B89" s="346"/>
      <c r="C89" s="329"/>
      <c r="D89" s="329"/>
      <c r="E89" s="329"/>
      <c r="F89" s="329"/>
      <c r="G89" s="329"/>
      <c r="H89" s="329"/>
      <c r="I89" s="329"/>
      <c r="J89" s="329"/>
      <c r="K89" s="329"/>
      <c r="L89" s="329"/>
      <c r="M89" s="329"/>
      <c r="N89" s="329"/>
      <c r="O89" s="329"/>
      <c r="P89" s="329"/>
      <c r="Q89" s="330"/>
    </row>
    <row r="90" spans="1:17">
      <c r="A90" s="336"/>
      <c r="B90" s="346"/>
      <c r="C90" s="329"/>
      <c r="D90" s="329"/>
      <c r="E90" s="329"/>
      <c r="F90" s="329"/>
      <c r="G90" s="329"/>
      <c r="H90" s="329"/>
      <c r="I90" s="329"/>
      <c r="J90" s="329"/>
      <c r="K90" s="329"/>
      <c r="L90" s="329"/>
      <c r="M90" s="329"/>
      <c r="N90" s="329"/>
      <c r="O90" s="329"/>
      <c r="P90" s="329"/>
      <c r="Q90" s="330"/>
    </row>
    <row r="91" spans="1:17" ht="13.5" thickBot="1">
      <c r="A91" s="336"/>
      <c r="B91" s="346"/>
      <c r="C91" s="329"/>
      <c r="D91" s="329"/>
      <c r="E91" s="329"/>
      <c r="F91" s="329"/>
      <c r="G91" s="329"/>
      <c r="H91" s="329"/>
      <c r="I91" s="329"/>
      <c r="J91" s="329"/>
      <c r="K91" s="329"/>
      <c r="L91" s="329"/>
      <c r="M91" s="329"/>
      <c r="N91" s="329"/>
      <c r="O91" s="329"/>
      <c r="P91" s="329"/>
      <c r="Q91" s="330"/>
    </row>
    <row r="92" spans="1:17">
      <c r="A92" s="40"/>
      <c r="B92" s="98" t="s">
        <v>81</v>
      </c>
      <c r="C92" s="347"/>
      <c r="D92" s="347" t="s">
        <v>413</v>
      </c>
      <c r="E92" s="347"/>
      <c r="F92" s="347"/>
      <c r="G92" s="347"/>
      <c r="H92" s="332"/>
      <c r="I92" s="332"/>
      <c r="J92" s="332"/>
      <c r="K92" s="332"/>
      <c r="L92" s="332"/>
      <c r="M92" s="332"/>
      <c r="N92" s="332"/>
      <c r="O92" s="332"/>
      <c r="P92" s="332"/>
      <c r="Q92" s="333"/>
    </row>
    <row r="93" spans="1:17">
      <c r="A93" s="100"/>
      <c r="B93" s="224"/>
      <c r="C93" s="277"/>
      <c r="D93" s="277"/>
      <c r="E93" s="277"/>
      <c r="F93" s="277"/>
      <c r="G93" s="277"/>
      <c r="H93" s="343"/>
      <c r="I93" s="343"/>
      <c r="J93" s="343"/>
      <c r="K93" s="343"/>
      <c r="L93" s="343"/>
      <c r="M93" s="343"/>
      <c r="N93" s="343"/>
      <c r="O93" s="343"/>
      <c r="P93" s="343"/>
      <c r="Q93" s="344"/>
    </row>
    <row r="94" spans="1:17" ht="13.5" thickBot="1">
      <c r="A94" s="30"/>
      <c r="B94" s="349"/>
      <c r="C94" s="411"/>
      <c r="D94" s="411"/>
      <c r="E94" s="411"/>
      <c r="F94" s="411"/>
      <c r="G94" s="411"/>
      <c r="H94" s="350"/>
      <c r="I94" s="350"/>
      <c r="J94" s="350"/>
      <c r="K94" s="350"/>
      <c r="L94" s="350"/>
      <c r="M94" s="350"/>
      <c r="N94" s="350"/>
      <c r="O94" s="350"/>
      <c r="P94" s="350"/>
      <c r="Q94" s="351"/>
    </row>
  </sheetData>
  <sheetProtection password="E51C" sheet="1" objects="1" scenarios="1"/>
  <protectedRanges>
    <protectedRange password="8CE6" sqref="A87:B91 H83:Q94 C83:G83" name="FuelTable"/>
    <protectedRange password="8CE6" sqref="H60:Q61 A68:A77 H63:Q80" name="MonitoringTable"/>
    <protectedRange password="8CE6" sqref="A52:B53 C48:Q56" name="WellMaterialTable"/>
    <protectedRange password="8CE6" sqref="A28:A30 C25:Q33 C12:Q16 C22:Q22 A41:A42 C36:Q45" name="RevegMaterialTable"/>
    <protectedRange password="8CE6" sqref="A40" name="RevegMaterialTable_1"/>
    <protectedRange password="8CE6" sqref="C60:G61 C63:G80" name="MonitoringTable_1"/>
    <protectedRange password="8CE6" sqref="C84:G94" name="FuelTable_1"/>
  </protectedRanges>
  <dataConsolidate/>
  <mergeCells count="4">
    <mergeCell ref="A7:B8"/>
    <mergeCell ref="B1:C1"/>
    <mergeCell ref="B2:C2"/>
    <mergeCell ref="B3:C3"/>
  </mergeCells>
  <phoneticPr fontId="10" type="noConversion"/>
  <pageMargins left="0.75" right="0.75" top="1" bottom="1" header="0.5" footer="0.5"/>
  <pageSetup paperSize="8" scale="97" fitToHeight="3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4"/>
    <pageSetUpPr autoPageBreaks="0"/>
  </sheetPr>
  <dimension ref="A1:AR183"/>
  <sheetViews>
    <sheetView showGridLines="0" zoomScale="80" zoomScaleNormal="80" zoomScaleSheetLayoutView="75" workbookViewId="0">
      <pane xSplit="2" ySplit="9" topLeftCell="C49" activePane="bottomRight" state="frozenSplit"/>
      <selection pane="topRight" activeCell="C1" sqref="C1"/>
      <selection pane="bottomLeft" activeCell="A30" sqref="A30"/>
      <selection pane="bottomRight" activeCell="A7" sqref="A7"/>
    </sheetView>
  </sheetViews>
  <sheetFormatPr defaultRowHeight="12.75"/>
  <cols>
    <col min="1" max="1" width="47" customWidth="1"/>
    <col min="2" max="2" width="15.28515625" customWidth="1"/>
    <col min="3" max="32" width="12.7109375" customWidth="1"/>
  </cols>
  <sheetData>
    <row r="1" spans="1:44" ht="13.5" thickBot="1"/>
    <row r="2" spans="1:44" ht="15.75">
      <c r="A2" s="81" t="s">
        <v>140</v>
      </c>
      <c r="B2" s="244" t="str">
        <f ca="1">DataFileName</f>
        <v>SRCE_Cost_data-USR_1_12_AustExample.xlsm</v>
      </c>
      <c r="C2" s="123"/>
      <c r="D2" s="384"/>
      <c r="E2" s="384"/>
      <c r="F2" s="384"/>
      <c r="G2" s="387"/>
    </row>
    <row r="3" spans="1:44" ht="15.75">
      <c r="A3" s="82" t="s">
        <v>141</v>
      </c>
      <c r="B3" s="605">
        <f>DataFileDate</f>
        <v>39720</v>
      </c>
      <c r="C3" s="606"/>
      <c r="D3" s="386"/>
      <c r="E3" s="386"/>
      <c r="F3" s="386"/>
      <c r="G3" s="388"/>
    </row>
    <row r="4" spans="1:44" ht="15.75">
      <c r="A4" s="82" t="s">
        <v>143</v>
      </c>
      <c r="B4" s="607" t="str">
        <f>DataCostBasis</f>
        <v>User Data</v>
      </c>
      <c r="C4" s="608"/>
      <c r="D4" s="386"/>
      <c r="E4" s="386"/>
      <c r="F4" s="386"/>
      <c r="G4" s="388"/>
    </row>
    <row r="5" spans="1:44" ht="16.5" thickBot="1">
      <c r="A5" s="83" t="s">
        <v>144</v>
      </c>
      <c r="B5" s="391" t="str">
        <f>AuthorSource</f>
        <v>AB Consulting</v>
      </c>
      <c r="C5" s="392"/>
      <c r="D5" s="385"/>
      <c r="E5" s="385"/>
      <c r="F5" s="385"/>
      <c r="G5" s="389"/>
    </row>
    <row r="6" spans="1:44" ht="13.5" thickBot="1"/>
    <row r="7" spans="1:44" ht="24" thickBot="1">
      <c r="A7" s="7" t="s">
        <v>29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8"/>
      <c r="AC7" s="8"/>
      <c r="AD7" s="8"/>
      <c r="AE7" s="8"/>
      <c r="AF7" s="9"/>
    </row>
    <row r="8" spans="1:44" ht="15.75" customHeight="1">
      <c r="A8" s="632" t="s">
        <v>30</v>
      </c>
      <c r="B8" s="665"/>
      <c r="C8" s="663" t="s">
        <v>259</v>
      </c>
      <c r="D8" s="664"/>
      <c r="E8" s="663" t="s">
        <v>260</v>
      </c>
      <c r="F8" s="664"/>
      <c r="G8" s="663" t="s">
        <v>261</v>
      </c>
      <c r="H8" s="664"/>
      <c r="I8" s="663" t="s">
        <v>262</v>
      </c>
      <c r="J8" s="664"/>
      <c r="K8" s="663" t="s">
        <v>263</v>
      </c>
      <c r="L8" s="664"/>
      <c r="M8" s="663" t="s">
        <v>264</v>
      </c>
      <c r="N8" s="664"/>
      <c r="O8" s="663" t="s">
        <v>265</v>
      </c>
      <c r="P8" s="664"/>
      <c r="Q8" s="663" t="s">
        <v>266</v>
      </c>
      <c r="R8" s="664"/>
      <c r="S8" s="663" t="s">
        <v>267</v>
      </c>
      <c r="T8" s="664"/>
      <c r="U8" s="663" t="s">
        <v>268</v>
      </c>
      <c r="V8" s="664"/>
      <c r="W8" s="663" t="s">
        <v>269</v>
      </c>
      <c r="X8" s="664"/>
      <c r="Y8" s="663" t="s">
        <v>270</v>
      </c>
      <c r="Z8" s="664"/>
      <c r="AA8" s="663" t="s">
        <v>271</v>
      </c>
      <c r="AB8" s="664"/>
      <c r="AC8" s="663" t="s">
        <v>272</v>
      </c>
      <c r="AD8" s="664"/>
      <c r="AE8" s="663" t="s">
        <v>273</v>
      </c>
      <c r="AF8" s="664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</row>
    <row r="9" spans="1:44" s="415" customFormat="1" ht="30" customHeight="1" thickBot="1">
      <c r="A9" s="601"/>
      <c r="B9" s="666"/>
      <c r="C9" s="661" t="str">
        <f>IF(ISBLANK(VLOOKUP(C8,RegionNames,2,FALSE)),"",VLOOKUP(C8,RegionNames,2,FALSE))</f>
        <v>WA ARO</v>
      </c>
      <c r="D9" s="662"/>
      <c r="E9" s="661" t="str">
        <f>IF(ISBLANK(VLOOKUP(E8,RegionNames,2,FALSE)),"",VLOOKUP(E8,RegionNames,2,FALSE))</f>
        <v>WA LOM - site costs</v>
      </c>
      <c r="F9" s="662"/>
      <c r="G9" s="661" t="str">
        <f>IF(ISBLANK(VLOOKUP(G8,RegionNames,2,FALSE)),"",VLOOKUP(G8,RegionNames,2,FALSE))</f>
        <v/>
      </c>
      <c r="H9" s="662"/>
      <c r="I9" s="661" t="str">
        <f>IF(ISBLANK(VLOOKUP(I8,RegionNames,2,FALSE)),"",VLOOKUP(I8,RegionNames,2,FALSE))</f>
        <v/>
      </c>
      <c r="J9" s="662"/>
      <c r="K9" s="661" t="str">
        <f>IF(ISBLANK(VLOOKUP(K8,RegionNames,2,FALSE)),"",VLOOKUP(K8,RegionNames,2,FALSE))</f>
        <v/>
      </c>
      <c r="L9" s="662"/>
      <c r="M9" s="661" t="str">
        <f>IF(ISBLANK(VLOOKUP(M8,RegionNames,2,FALSE)),"",VLOOKUP(M8,RegionNames,2,FALSE))</f>
        <v/>
      </c>
      <c r="N9" s="662"/>
      <c r="O9" s="661" t="str">
        <f>IF(ISBLANK(VLOOKUP(O8,RegionNames,2,FALSE)),"",VLOOKUP(O8,RegionNames,2,FALSE))</f>
        <v/>
      </c>
      <c r="P9" s="662"/>
      <c r="Q9" s="661" t="str">
        <f>IF(ISBLANK(VLOOKUP(Q8,RegionNames,2,FALSE)),"",VLOOKUP(Q8,RegionNames,2,FALSE))</f>
        <v/>
      </c>
      <c r="R9" s="662"/>
      <c r="S9" s="661" t="str">
        <f>IF(ISBLANK(VLOOKUP(S8,RegionNames,2,FALSE)),"",VLOOKUP(S8,RegionNames,2,FALSE))</f>
        <v/>
      </c>
      <c r="T9" s="662"/>
      <c r="U9" s="661" t="str">
        <f>IF(ISBLANK(VLOOKUP(U8,RegionNames,2,FALSE)),"",VLOOKUP(U8,RegionNames,2,FALSE))</f>
        <v/>
      </c>
      <c r="V9" s="662"/>
      <c r="W9" s="661" t="str">
        <f>IF(ISBLANK(VLOOKUP(W8,RegionNames,2,FALSE)),"",VLOOKUP(W8,RegionNames,2,FALSE))</f>
        <v/>
      </c>
      <c r="X9" s="662"/>
      <c r="Y9" s="661" t="str">
        <f>IF(ISBLANK(VLOOKUP(Y8,RegionNames,2,FALSE)),"",VLOOKUP(Y8,RegionNames,2,FALSE))</f>
        <v/>
      </c>
      <c r="Z9" s="662"/>
      <c r="AA9" s="661" t="str">
        <f>IF(ISBLANK(VLOOKUP(AA8,RegionNames,2,FALSE)),"",VLOOKUP(AA8,RegionNames,2,FALSE))</f>
        <v/>
      </c>
      <c r="AB9" s="662"/>
      <c r="AC9" s="661" t="str">
        <f>IF(ISBLANK(VLOOKUP(AC8,RegionNames,2,FALSE)),"",VLOOKUP(AC8,RegionNames,2,FALSE))</f>
        <v/>
      </c>
      <c r="AD9" s="662"/>
      <c r="AE9" s="661" t="str">
        <f>IF(ISBLANK(VLOOKUP(AE8,RegionNames,2,FALSE)),"",VLOOKUP(AE8,RegionNames,2,FALSE))</f>
        <v/>
      </c>
      <c r="AF9" s="662"/>
      <c r="AG9" s="417"/>
      <c r="AH9" s="417"/>
      <c r="AI9" s="417"/>
      <c r="AJ9" s="417"/>
      <c r="AK9" s="417"/>
      <c r="AL9" s="417"/>
      <c r="AM9" s="417"/>
      <c r="AN9" s="417"/>
      <c r="AO9" s="417"/>
      <c r="AP9" s="417"/>
      <c r="AQ9" s="417"/>
      <c r="AR9" s="417"/>
    </row>
    <row r="10" spans="1:44" ht="18.75" customHeight="1" thickBot="1">
      <c r="A10" s="112" t="s">
        <v>35</v>
      </c>
      <c r="B10" s="114"/>
      <c r="C10" s="113"/>
      <c r="D10" s="114"/>
      <c r="E10" s="113"/>
      <c r="F10" s="114"/>
      <c r="G10" s="113"/>
      <c r="H10" s="114"/>
      <c r="I10" s="113"/>
      <c r="J10" s="114"/>
      <c r="K10" s="113"/>
      <c r="L10" s="114"/>
      <c r="M10" s="113"/>
      <c r="N10" s="114"/>
      <c r="O10" s="113"/>
      <c r="P10" s="114"/>
      <c r="Q10" s="113"/>
      <c r="R10" s="114"/>
      <c r="S10" s="113"/>
      <c r="T10" s="114"/>
      <c r="U10" s="113"/>
      <c r="V10" s="114"/>
      <c r="W10" s="113"/>
      <c r="X10" s="114"/>
      <c r="Y10" s="113"/>
      <c r="Z10" s="114"/>
      <c r="AA10" s="113"/>
      <c r="AB10" s="114"/>
      <c r="AC10" s="113"/>
      <c r="AD10" s="114"/>
      <c r="AE10" s="113"/>
      <c r="AF10" s="114"/>
    </row>
    <row r="11" spans="1:44" ht="13.5" thickBot="1">
      <c r="A11" s="127" t="s">
        <v>96</v>
      </c>
      <c r="B11" s="134" t="s">
        <v>87</v>
      </c>
      <c r="C11" s="135" t="s">
        <v>40</v>
      </c>
      <c r="D11" s="136" t="s">
        <v>28</v>
      </c>
      <c r="E11" s="135" t="s">
        <v>40</v>
      </c>
      <c r="F11" s="136" t="s">
        <v>28</v>
      </c>
      <c r="G11" s="135" t="s">
        <v>40</v>
      </c>
      <c r="H11" s="136" t="s">
        <v>28</v>
      </c>
      <c r="I11" s="135" t="s">
        <v>40</v>
      </c>
      <c r="J11" s="136" t="s">
        <v>28</v>
      </c>
      <c r="K11" s="135" t="s">
        <v>40</v>
      </c>
      <c r="L11" s="136" t="s">
        <v>28</v>
      </c>
      <c r="M11" s="135" t="s">
        <v>40</v>
      </c>
      <c r="N11" s="136" t="s">
        <v>28</v>
      </c>
      <c r="O11" s="135" t="s">
        <v>40</v>
      </c>
      <c r="P11" s="136" t="s">
        <v>28</v>
      </c>
      <c r="Q11" s="135" t="s">
        <v>40</v>
      </c>
      <c r="R11" s="136" t="s">
        <v>28</v>
      </c>
      <c r="S11" s="135" t="s">
        <v>40</v>
      </c>
      <c r="T11" s="136" t="s">
        <v>28</v>
      </c>
      <c r="U11" s="135" t="s">
        <v>40</v>
      </c>
      <c r="V11" s="136" t="s">
        <v>28</v>
      </c>
      <c r="W11" s="135" t="s">
        <v>40</v>
      </c>
      <c r="X11" s="136" t="s">
        <v>28</v>
      </c>
      <c r="Y11" s="135" t="s">
        <v>40</v>
      </c>
      <c r="Z11" s="136" t="s">
        <v>28</v>
      </c>
      <c r="AA11" s="135" t="s">
        <v>40</v>
      </c>
      <c r="AB11" s="136" t="s">
        <v>28</v>
      </c>
      <c r="AC11" s="135" t="s">
        <v>40</v>
      </c>
      <c r="AD11" s="136" t="s">
        <v>28</v>
      </c>
      <c r="AE11" s="135" t="s">
        <v>40</v>
      </c>
      <c r="AF11" s="136" t="s">
        <v>28</v>
      </c>
    </row>
    <row r="12" spans="1:44" ht="14.25" customHeight="1">
      <c r="A12" s="161" t="s">
        <v>318</v>
      </c>
      <c r="B12" s="128" t="str">
        <f>IF(Metric,"$/Ha","$/acres")</f>
        <v>$/Ha</v>
      </c>
      <c r="C12" s="360">
        <v>222.01329851743699</v>
      </c>
      <c r="D12" s="357"/>
      <c r="E12" s="475">
        <v>203.24754432630985</v>
      </c>
      <c r="F12" s="476"/>
      <c r="G12" s="360"/>
      <c r="H12" s="357"/>
      <c r="I12" s="360"/>
      <c r="J12" s="357"/>
      <c r="K12" s="360"/>
      <c r="L12" s="357"/>
      <c r="M12" s="360"/>
      <c r="N12" s="357"/>
      <c r="O12" s="360"/>
      <c r="P12" s="357"/>
      <c r="Q12" s="360"/>
      <c r="R12" s="357"/>
      <c r="S12" s="360"/>
      <c r="T12" s="357"/>
      <c r="U12" s="360"/>
      <c r="V12" s="357"/>
      <c r="W12" s="360"/>
      <c r="X12" s="357"/>
      <c r="Y12" s="360"/>
      <c r="Z12" s="357"/>
      <c r="AA12" s="360"/>
      <c r="AB12" s="357"/>
      <c r="AC12" s="360"/>
      <c r="AD12" s="357"/>
      <c r="AE12" s="360"/>
      <c r="AF12" s="357"/>
    </row>
    <row r="13" spans="1:44" s="62" customFormat="1" ht="14.25">
      <c r="A13" s="161" t="s">
        <v>276</v>
      </c>
      <c r="B13" s="128" t="str">
        <f>IF(Metric,"$/Ha","$/acres")</f>
        <v>$/Ha</v>
      </c>
      <c r="C13" s="362">
        <v>169.21013562680372</v>
      </c>
      <c r="D13" s="353">
        <v>304.22789999999998</v>
      </c>
      <c r="E13" s="477">
        <v>154.90758783789022</v>
      </c>
      <c r="F13" s="478">
        <v>278.3775</v>
      </c>
      <c r="G13" s="362"/>
      <c r="H13" s="353"/>
      <c r="I13" s="362"/>
      <c r="J13" s="353"/>
      <c r="K13" s="362"/>
      <c r="L13" s="353"/>
      <c r="M13" s="362"/>
      <c r="N13" s="353"/>
      <c r="O13" s="362"/>
      <c r="P13" s="353"/>
      <c r="Q13" s="362"/>
      <c r="R13" s="353"/>
      <c r="S13" s="362"/>
      <c r="T13" s="353"/>
      <c r="U13" s="362"/>
      <c r="V13" s="353"/>
      <c r="W13" s="362"/>
      <c r="X13" s="353"/>
      <c r="Y13" s="362"/>
      <c r="Z13" s="353"/>
      <c r="AA13" s="362"/>
      <c r="AB13" s="353"/>
      <c r="AC13" s="362"/>
      <c r="AD13" s="353"/>
      <c r="AE13" s="362"/>
      <c r="AF13" s="353"/>
    </row>
    <row r="14" spans="1:44" s="62" customFormat="1" ht="14.25">
      <c r="A14" s="161" t="s">
        <v>274</v>
      </c>
      <c r="B14" s="128" t="str">
        <f>IF(Metric,"$/Ha","$/acres")</f>
        <v>$/Ha</v>
      </c>
      <c r="C14" s="361"/>
      <c r="D14" s="330"/>
      <c r="E14" s="479"/>
      <c r="F14" s="480"/>
      <c r="G14" s="361"/>
      <c r="H14" s="330"/>
      <c r="I14" s="361"/>
      <c r="J14" s="330"/>
      <c r="K14" s="361"/>
      <c r="L14" s="330"/>
      <c r="M14" s="361"/>
      <c r="N14" s="330"/>
      <c r="O14" s="361"/>
      <c r="P14" s="330"/>
      <c r="Q14" s="361"/>
      <c r="R14" s="330"/>
      <c r="S14" s="361"/>
      <c r="T14" s="330"/>
      <c r="U14" s="361"/>
      <c r="V14" s="330"/>
      <c r="W14" s="361"/>
      <c r="X14" s="330"/>
      <c r="Y14" s="361"/>
      <c r="Z14" s="330"/>
      <c r="AA14" s="361"/>
      <c r="AB14" s="330"/>
      <c r="AC14" s="361"/>
      <c r="AD14" s="330"/>
      <c r="AE14" s="361"/>
      <c r="AF14" s="330"/>
    </row>
    <row r="15" spans="1:44" s="62" customFormat="1" ht="15" thickBot="1">
      <c r="A15" s="161" t="s">
        <v>275</v>
      </c>
      <c r="B15" s="128" t="str">
        <f>IF(Metric,"$/Ha","$/acres")</f>
        <v>$/Ha</v>
      </c>
      <c r="C15" s="362">
        <v>700</v>
      </c>
      <c r="D15" s="353">
        <v>1400</v>
      </c>
      <c r="E15" s="477">
        <v>640</v>
      </c>
      <c r="F15" s="478">
        <v>1200</v>
      </c>
      <c r="G15" s="362"/>
      <c r="H15" s="353"/>
      <c r="I15" s="362"/>
      <c r="J15" s="353"/>
      <c r="K15" s="362"/>
      <c r="L15" s="353"/>
      <c r="M15" s="362"/>
      <c r="N15" s="353"/>
      <c r="O15" s="362"/>
      <c r="P15" s="353"/>
      <c r="Q15" s="362"/>
      <c r="R15" s="353"/>
      <c r="S15" s="362"/>
      <c r="T15" s="353"/>
      <c r="U15" s="362"/>
      <c r="V15" s="353"/>
      <c r="W15" s="362"/>
      <c r="X15" s="353"/>
      <c r="Y15" s="362"/>
      <c r="Z15" s="353"/>
      <c r="AA15" s="362"/>
      <c r="AB15" s="353"/>
      <c r="AC15" s="362"/>
      <c r="AD15" s="353"/>
      <c r="AE15" s="362"/>
      <c r="AF15" s="353"/>
    </row>
    <row r="16" spans="1:44" ht="13.5" thickBot="1">
      <c r="A16" s="127" t="s">
        <v>96</v>
      </c>
      <c r="B16" s="134" t="s">
        <v>87</v>
      </c>
      <c r="C16" s="218" t="s">
        <v>110</v>
      </c>
      <c r="D16" s="219"/>
      <c r="E16" s="218" t="s">
        <v>110</v>
      </c>
      <c r="F16" s="219"/>
      <c r="G16" s="218" t="s">
        <v>110</v>
      </c>
      <c r="H16" s="219"/>
      <c r="I16" s="218" t="s">
        <v>110</v>
      </c>
      <c r="J16" s="219"/>
      <c r="K16" s="218" t="s">
        <v>110</v>
      </c>
      <c r="L16" s="219"/>
      <c r="M16" s="218" t="s">
        <v>110</v>
      </c>
      <c r="N16" s="219"/>
      <c r="O16" s="218" t="s">
        <v>110</v>
      </c>
      <c r="P16" s="219"/>
      <c r="Q16" s="218" t="s">
        <v>110</v>
      </c>
      <c r="R16" s="219"/>
      <c r="S16" s="218" t="s">
        <v>110</v>
      </c>
      <c r="T16" s="219"/>
      <c r="U16" s="218" t="s">
        <v>110</v>
      </c>
      <c r="V16" s="219"/>
      <c r="W16" s="218" t="s">
        <v>110</v>
      </c>
      <c r="X16" s="219"/>
      <c r="Y16" s="218" t="s">
        <v>110</v>
      </c>
      <c r="Z16" s="219"/>
      <c r="AA16" s="218" t="s">
        <v>110</v>
      </c>
      <c r="AB16" s="219"/>
      <c r="AC16" s="218" t="s">
        <v>110</v>
      </c>
      <c r="AD16" s="219"/>
      <c r="AE16" s="218" t="s">
        <v>110</v>
      </c>
      <c r="AF16" s="219"/>
    </row>
    <row r="17" spans="1:38" s="62" customFormat="1" ht="14.25">
      <c r="A17" s="162" t="s">
        <v>376</v>
      </c>
      <c r="B17" s="141" t="s">
        <v>131</v>
      </c>
      <c r="C17" s="360">
        <v>12</v>
      </c>
      <c r="D17" s="61"/>
      <c r="E17" s="475">
        <v>8</v>
      </c>
      <c r="F17" s="61"/>
      <c r="G17" s="360"/>
      <c r="H17" s="61"/>
      <c r="I17" s="360"/>
      <c r="J17" s="61"/>
      <c r="K17" s="360"/>
      <c r="L17" s="61"/>
      <c r="M17" s="360"/>
      <c r="N17" s="61"/>
      <c r="O17" s="360"/>
      <c r="P17" s="61"/>
      <c r="Q17" s="360"/>
      <c r="R17" s="61"/>
      <c r="S17" s="360"/>
      <c r="T17" s="61"/>
      <c r="U17" s="360"/>
      <c r="V17" s="61"/>
      <c r="W17" s="360"/>
      <c r="X17" s="61"/>
      <c r="Y17" s="360"/>
      <c r="Z17" s="61"/>
      <c r="AA17" s="360"/>
      <c r="AB17" s="61"/>
      <c r="AC17" s="360"/>
      <c r="AD17" s="61"/>
      <c r="AE17" s="360"/>
      <c r="AF17" s="61"/>
    </row>
    <row r="18" spans="1:38" s="62" customFormat="1" ht="14.25">
      <c r="A18" s="163" t="s">
        <v>377</v>
      </c>
      <c r="B18" s="141" t="s">
        <v>131</v>
      </c>
      <c r="C18" s="361">
        <v>17.5</v>
      </c>
      <c r="D18" s="38"/>
      <c r="E18" s="479">
        <v>8.5</v>
      </c>
      <c r="F18" s="38"/>
      <c r="G18" s="361"/>
      <c r="H18" s="38"/>
      <c r="I18" s="361"/>
      <c r="J18" s="38"/>
      <c r="K18" s="361"/>
      <c r="L18" s="38"/>
      <c r="M18" s="361"/>
      <c r="N18" s="38"/>
      <c r="O18" s="361"/>
      <c r="P18" s="38"/>
      <c r="Q18" s="361"/>
      <c r="R18" s="38"/>
      <c r="S18" s="361"/>
      <c r="T18" s="38"/>
      <c r="U18" s="361"/>
      <c r="V18" s="38"/>
      <c r="W18" s="361"/>
      <c r="X18" s="38"/>
      <c r="Y18" s="361"/>
      <c r="Z18" s="38"/>
      <c r="AA18" s="361"/>
      <c r="AB18" s="38"/>
      <c r="AC18" s="361"/>
      <c r="AD18" s="38"/>
      <c r="AE18" s="361"/>
      <c r="AF18" s="38"/>
    </row>
    <row r="19" spans="1:38" s="62" customFormat="1" ht="15" thickBot="1">
      <c r="A19" s="164" t="s">
        <v>31</v>
      </c>
      <c r="B19" s="130" t="s">
        <v>131</v>
      </c>
      <c r="C19" s="363"/>
      <c r="D19" s="180"/>
      <c r="E19" s="481"/>
      <c r="F19" s="180"/>
      <c r="G19" s="363"/>
      <c r="H19" s="180"/>
      <c r="I19" s="363"/>
      <c r="J19" s="180"/>
      <c r="K19" s="363"/>
      <c r="L19" s="180"/>
      <c r="M19" s="363"/>
      <c r="N19" s="180"/>
      <c r="O19" s="363"/>
      <c r="P19" s="180"/>
      <c r="Q19" s="363"/>
      <c r="R19" s="180"/>
      <c r="S19" s="363"/>
      <c r="T19" s="180"/>
      <c r="U19" s="363"/>
      <c r="V19" s="180"/>
      <c r="W19" s="363"/>
      <c r="X19" s="180"/>
      <c r="Y19" s="363"/>
      <c r="Z19" s="180"/>
      <c r="AA19" s="363"/>
      <c r="AB19" s="180"/>
      <c r="AC19" s="363"/>
      <c r="AD19" s="180"/>
      <c r="AE19" s="363"/>
      <c r="AF19" s="180"/>
    </row>
    <row r="20" spans="1:38" ht="15">
      <c r="A20" s="24"/>
      <c r="B20" s="25"/>
      <c r="C20" s="139"/>
      <c r="D20" s="61"/>
      <c r="E20" s="139"/>
      <c r="F20" s="61"/>
      <c r="G20" s="139"/>
      <c r="H20" s="61"/>
      <c r="I20" s="139"/>
      <c r="J20" s="61"/>
      <c r="K20" s="139"/>
      <c r="L20" s="61"/>
      <c r="M20" s="139"/>
      <c r="N20" s="61"/>
      <c r="O20" s="139"/>
      <c r="P20" s="61"/>
      <c r="Q20" s="139"/>
      <c r="R20" s="61"/>
      <c r="S20" s="139"/>
      <c r="T20" s="61"/>
      <c r="U20" s="139"/>
      <c r="V20" s="61"/>
      <c r="W20" s="139"/>
      <c r="X20" s="61"/>
      <c r="Y20" s="139"/>
      <c r="Z20" s="61"/>
      <c r="AA20" s="139"/>
      <c r="AB20" s="61"/>
      <c r="AC20" s="139"/>
      <c r="AD20" s="61"/>
      <c r="AE20" s="139"/>
      <c r="AF20" s="61"/>
    </row>
    <row r="21" spans="1:38" ht="15.75" thickBot="1">
      <c r="A21" s="125" t="s">
        <v>79</v>
      </c>
      <c r="B21" s="126"/>
      <c r="C21" s="140"/>
      <c r="D21" s="38"/>
      <c r="E21" s="140"/>
      <c r="F21" s="38"/>
      <c r="G21" s="140"/>
      <c r="H21" s="38"/>
      <c r="I21" s="140"/>
      <c r="J21" s="38"/>
      <c r="K21" s="140"/>
      <c r="L21" s="38"/>
      <c r="M21" s="140"/>
      <c r="N21" s="38"/>
      <c r="O21" s="140"/>
      <c r="P21" s="38"/>
      <c r="Q21" s="140"/>
      <c r="R21" s="38"/>
      <c r="S21" s="140"/>
      <c r="T21" s="38"/>
      <c r="U21" s="140"/>
      <c r="V21" s="38"/>
      <c r="W21" s="140"/>
      <c r="X21" s="38"/>
      <c r="Y21" s="140"/>
      <c r="Z21" s="38"/>
      <c r="AA21" s="140"/>
      <c r="AB21" s="38"/>
      <c r="AC21" s="140"/>
      <c r="AD21" s="38"/>
      <c r="AE21" s="140"/>
      <c r="AF21" s="38"/>
    </row>
    <row r="22" spans="1:38" ht="26.25" customHeight="1">
      <c r="A22" s="653" t="s">
        <v>196</v>
      </c>
      <c r="B22" s="654" t="s">
        <v>196</v>
      </c>
      <c r="C22" s="643" t="s">
        <v>432</v>
      </c>
      <c r="D22" s="644"/>
      <c r="E22" s="643"/>
      <c r="F22" s="644"/>
      <c r="G22" s="643"/>
      <c r="H22" s="644"/>
      <c r="I22" s="643"/>
      <c r="J22" s="644"/>
      <c r="K22" s="643"/>
      <c r="L22" s="644"/>
      <c r="M22" s="641"/>
      <c r="N22" s="642"/>
      <c r="O22" s="641"/>
      <c r="P22" s="642"/>
      <c r="Q22" s="641"/>
      <c r="R22" s="642"/>
      <c r="S22" s="641"/>
      <c r="T22" s="642"/>
      <c r="U22" s="641"/>
      <c r="V22" s="642"/>
      <c r="W22" s="641"/>
      <c r="X22" s="642"/>
      <c r="Y22" s="641"/>
      <c r="Z22" s="642"/>
      <c r="AA22" s="641"/>
      <c r="AB22" s="642"/>
      <c r="AC22" s="641"/>
      <c r="AD22" s="642"/>
      <c r="AE22" s="641"/>
      <c r="AF22" s="642"/>
    </row>
    <row r="23" spans="1:38" ht="26.25" customHeight="1">
      <c r="A23" s="653" t="s">
        <v>197</v>
      </c>
      <c r="B23" s="654" t="s">
        <v>197</v>
      </c>
      <c r="C23" s="637" t="s">
        <v>433</v>
      </c>
      <c r="D23" s="638"/>
      <c r="E23" s="637"/>
      <c r="F23" s="638"/>
      <c r="G23" s="637"/>
      <c r="H23" s="638"/>
      <c r="I23" s="637"/>
      <c r="J23" s="638"/>
      <c r="K23" s="637"/>
      <c r="L23" s="638"/>
      <c r="M23" s="637"/>
      <c r="N23" s="638"/>
      <c r="O23" s="637"/>
      <c r="P23" s="638"/>
      <c r="Q23" s="637"/>
      <c r="R23" s="638"/>
      <c r="S23" s="637"/>
      <c r="T23" s="638"/>
      <c r="U23" s="637"/>
      <c r="V23" s="638"/>
      <c r="W23" s="637"/>
      <c r="X23" s="638"/>
      <c r="Y23" s="637"/>
      <c r="Z23" s="638"/>
      <c r="AA23" s="637"/>
      <c r="AB23" s="638"/>
      <c r="AC23" s="637"/>
      <c r="AD23" s="638"/>
      <c r="AE23" s="637"/>
      <c r="AF23" s="638"/>
    </row>
    <row r="24" spans="1:38" ht="26.25" customHeight="1">
      <c r="A24" s="653" t="s">
        <v>198</v>
      </c>
      <c r="B24" s="654" t="s">
        <v>198</v>
      </c>
      <c r="C24" s="659" t="s">
        <v>433</v>
      </c>
      <c r="D24" s="660"/>
      <c r="E24" s="659"/>
      <c r="F24" s="660"/>
      <c r="G24" s="659"/>
      <c r="H24" s="660"/>
      <c r="I24" s="659"/>
      <c r="J24" s="660"/>
      <c r="K24" s="659"/>
      <c r="L24" s="660"/>
      <c r="M24" s="637"/>
      <c r="N24" s="638"/>
      <c r="O24" s="637"/>
      <c r="P24" s="638"/>
      <c r="Q24" s="637"/>
      <c r="R24" s="638"/>
      <c r="S24" s="637"/>
      <c r="T24" s="638"/>
      <c r="U24" s="637"/>
      <c r="V24" s="638"/>
      <c r="W24" s="637"/>
      <c r="X24" s="638"/>
      <c r="Y24" s="637"/>
      <c r="Z24" s="638"/>
      <c r="AA24" s="637"/>
      <c r="AB24" s="638"/>
      <c r="AC24" s="637"/>
      <c r="AD24" s="638"/>
      <c r="AE24" s="637"/>
      <c r="AF24" s="638"/>
    </row>
    <row r="25" spans="1:38" ht="26.25" customHeight="1" thickBot="1">
      <c r="A25" s="657" t="s">
        <v>199</v>
      </c>
      <c r="B25" s="658" t="s">
        <v>199</v>
      </c>
      <c r="C25" s="635" t="s">
        <v>434</v>
      </c>
      <c r="D25" s="636"/>
      <c r="E25" s="635"/>
      <c r="F25" s="636"/>
      <c r="G25" s="635"/>
      <c r="H25" s="636"/>
      <c r="I25" s="635"/>
      <c r="J25" s="636"/>
      <c r="K25" s="635"/>
      <c r="L25" s="636"/>
      <c r="M25" s="635"/>
      <c r="N25" s="636"/>
      <c r="O25" s="635"/>
      <c r="P25" s="636"/>
      <c r="Q25" s="635"/>
      <c r="R25" s="636"/>
      <c r="S25" s="635"/>
      <c r="T25" s="636"/>
      <c r="U25" s="635"/>
      <c r="V25" s="636"/>
      <c r="W25" s="635"/>
      <c r="X25" s="636"/>
      <c r="Y25" s="635"/>
      <c r="Z25" s="636"/>
      <c r="AA25" s="635"/>
      <c r="AB25" s="636"/>
      <c r="AC25" s="635"/>
      <c r="AD25" s="636"/>
      <c r="AE25" s="635"/>
      <c r="AF25" s="636"/>
    </row>
    <row r="26" spans="1:38" s="62" customFormat="1" ht="16.5" thickBot="1">
      <c r="A26" s="112" t="s">
        <v>36</v>
      </c>
      <c r="B26" s="114"/>
      <c r="C26" s="113"/>
      <c r="D26" s="114"/>
      <c r="E26" s="113"/>
      <c r="F26" s="114"/>
      <c r="G26" s="113"/>
      <c r="H26" s="114"/>
      <c r="I26" s="113"/>
      <c r="J26" s="114"/>
      <c r="K26" s="113"/>
      <c r="L26" s="114"/>
      <c r="M26" s="113"/>
      <c r="N26" s="114"/>
      <c r="O26" s="113"/>
      <c r="P26" s="114"/>
      <c r="Q26" s="113"/>
      <c r="R26" s="114"/>
      <c r="S26" s="113"/>
      <c r="T26" s="114"/>
      <c r="U26" s="113"/>
      <c r="V26" s="114"/>
      <c r="W26" s="113"/>
      <c r="X26" s="114"/>
      <c r="Y26" s="113"/>
      <c r="Z26" s="114"/>
      <c r="AA26" s="113"/>
      <c r="AB26" s="114"/>
      <c r="AC26" s="113"/>
      <c r="AD26" s="114"/>
      <c r="AE26" s="113"/>
      <c r="AF26" s="114"/>
      <c r="AH26"/>
      <c r="AI26"/>
      <c r="AJ26"/>
      <c r="AK26"/>
      <c r="AL26"/>
    </row>
    <row r="27" spans="1:38" ht="13.5" thickBot="1">
      <c r="A27" s="127" t="s">
        <v>96</v>
      </c>
      <c r="B27" s="134" t="s">
        <v>87</v>
      </c>
      <c r="C27" s="137"/>
      <c r="D27" s="138" t="s">
        <v>111</v>
      </c>
      <c r="E27" s="137"/>
      <c r="F27" s="138" t="s">
        <v>111</v>
      </c>
      <c r="G27" s="137"/>
      <c r="H27" s="138" t="s">
        <v>111</v>
      </c>
      <c r="I27" s="137"/>
      <c r="J27" s="138" t="s">
        <v>111</v>
      </c>
      <c r="K27" s="137"/>
      <c r="L27" s="138" t="s">
        <v>111</v>
      </c>
      <c r="M27" s="137"/>
      <c r="N27" s="138" t="s">
        <v>111</v>
      </c>
      <c r="O27" s="137"/>
      <c r="P27" s="138" t="s">
        <v>111</v>
      </c>
      <c r="Q27" s="137"/>
      <c r="R27" s="138" t="s">
        <v>111</v>
      </c>
      <c r="S27" s="137"/>
      <c r="T27" s="138" t="s">
        <v>111</v>
      </c>
      <c r="U27" s="137"/>
      <c r="V27" s="138" t="s">
        <v>111</v>
      </c>
      <c r="W27" s="137"/>
      <c r="X27" s="138" t="s">
        <v>111</v>
      </c>
      <c r="Y27" s="137"/>
      <c r="Z27" s="138" t="s">
        <v>111</v>
      </c>
      <c r="AA27" s="137"/>
      <c r="AB27" s="138" t="s">
        <v>111</v>
      </c>
      <c r="AC27" s="137"/>
      <c r="AD27" s="138" t="s">
        <v>111</v>
      </c>
      <c r="AE27" s="137"/>
      <c r="AF27" s="138" t="s">
        <v>111</v>
      </c>
    </row>
    <row r="28" spans="1:38" ht="16.5" thickBot="1">
      <c r="A28" s="124" t="s">
        <v>112</v>
      </c>
      <c r="B28" s="44"/>
      <c r="C28" s="43"/>
      <c r="D28" s="45"/>
      <c r="E28" s="43"/>
      <c r="F28" s="45"/>
      <c r="G28" s="43"/>
      <c r="H28" s="45"/>
      <c r="I28" s="43"/>
      <c r="J28" s="45"/>
      <c r="K28" s="43"/>
      <c r="L28" s="45"/>
      <c r="M28" s="43"/>
      <c r="N28" s="45"/>
      <c r="O28" s="43"/>
      <c r="P28" s="45"/>
      <c r="Q28" s="43"/>
      <c r="R28" s="45"/>
      <c r="S28" s="43"/>
      <c r="T28" s="45"/>
      <c r="U28" s="43"/>
      <c r="V28" s="45"/>
      <c r="W28" s="43"/>
      <c r="X28" s="45"/>
      <c r="Y28" s="43"/>
      <c r="Z28" s="45"/>
      <c r="AA28" s="43"/>
      <c r="AB28" s="45"/>
      <c r="AC28" s="43"/>
      <c r="AD28" s="45"/>
      <c r="AE28" s="43"/>
      <c r="AF28" s="45"/>
    </row>
    <row r="29" spans="1:38" ht="14.25" customHeight="1">
      <c r="A29" s="107" t="s">
        <v>113</v>
      </c>
      <c r="B29" s="408" t="str">
        <f t="shared" ref="B29:B36" si="0">IF(Metric,"m3","C.F.")</f>
        <v>m3</v>
      </c>
      <c r="C29" s="184"/>
      <c r="D29" s="483"/>
      <c r="E29" s="128"/>
      <c r="F29" s="483"/>
      <c r="G29" s="128"/>
      <c r="H29" s="357"/>
      <c r="I29" s="128"/>
      <c r="J29" s="357"/>
      <c r="K29" s="128"/>
      <c r="L29" s="357"/>
      <c r="M29" s="128"/>
      <c r="N29" s="357"/>
      <c r="O29" s="128"/>
      <c r="P29" s="357"/>
      <c r="Q29" s="128"/>
      <c r="R29" s="357"/>
      <c r="S29" s="128"/>
      <c r="T29" s="357"/>
      <c r="U29" s="128"/>
      <c r="V29" s="357"/>
      <c r="W29" s="128"/>
      <c r="X29" s="357"/>
      <c r="Y29" s="128"/>
      <c r="Z29" s="357"/>
      <c r="AA29" s="128"/>
      <c r="AB29" s="357"/>
      <c r="AC29" s="128"/>
      <c r="AD29" s="357"/>
      <c r="AE29" s="128"/>
      <c r="AF29" s="357"/>
    </row>
    <row r="30" spans="1:38" ht="14.25" customHeight="1">
      <c r="A30" s="52" t="s">
        <v>114</v>
      </c>
      <c r="B30" s="141" t="str">
        <f t="shared" si="0"/>
        <v>m3</v>
      </c>
      <c r="C30" s="129"/>
      <c r="D30" s="483"/>
      <c r="E30" s="94"/>
      <c r="F30" s="483"/>
      <c r="G30" s="94"/>
      <c r="H30" s="342"/>
      <c r="I30" s="94"/>
      <c r="J30" s="342"/>
      <c r="K30" s="94"/>
      <c r="L30" s="342"/>
      <c r="M30" s="94"/>
      <c r="N30" s="342"/>
      <c r="O30" s="94"/>
      <c r="P30" s="342"/>
      <c r="Q30" s="94"/>
      <c r="R30" s="342"/>
      <c r="S30" s="94"/>
      <c r="T30" s="342"/>
      <c r="U30" s="94"/>
      <c r="V30" s="342"/>
      <c r="W30" s="94"/>
      <c r="X30" s="342"/>
      <c r="Y30" s="94"/>
      <c r="Z30" s="342"/>
      <c r="AA30" s="94"/>
      <c r="AB30" s="342"/>
      <c r="AC30" s="94"/>
      <c r="AD30" s="342"/>
      <c r="AE30" s="94"/>
      <c r="AF30" s="342"/>
    </row>
    <row r="31" spans="1:38" ht="14.25" customHeight="1">
      <c r="A31" s="52" t="s">
        <v>115</v>
      </c>
      <c r="B31" s="141" t="str">
        <f t="shared" si="0"/>
        <v>m3</v>
      </c>
      <c r="C31" s="129"/>
      <c r="D31" s="483"/>
      <c r="E31" s="94"/>
      <c r="F31" s="483"/>
      <c r="G31" s="94"/>
      <c r="H31" s="342"/>
      <c r="I31" s="94"/>
      <c r="J31" s="342"/>
      <c r="K31" s="94"/>
      <c r="L31" s="342"/>
      <c r="M31" s="94"/>
      <c r="N31" s="342"/>
      <c r="O31" s="94"/>
      <c r="P31" s="342"/>
      <c r="Q31" s="94"/>
      <c r="R31" s="342"/>
      <c r="S31" s="94"/>
      <c r="T31" s="342"/>
      <c r="U31" s="94"/>
      <c r="V31" s="342"/>
      <c r="W31" s="94"/>
      <c r="X31" s="342"/>
      <c r="Y31" s="94"/>
      <c r="Z31" s="342"/>
      <c r="AA31" s="94"/>
      <c r="AB31" s="342"/>
      <c r="AC31" s="94"/>
      <c r="AD31" s="342"/>
      <c r="AE31" s="94"/>
      <c r="AF31" s="342"/>
    </row>
    <row r="32" spans="1:38" ht="14.25" customHeight="1">
      <c r="A32" s="52" t="s">
        <v>116</v>
      </c>
      <c r="B32" s="141" t="str">
        <f t="shared" si="0"/>
        <v>m3</v>
      </c>
      <c r="C32" s="129"/>
      <c r="D32" s="483"/>
      <c r="E32" s="94"/>
      <c r="F32" s="483"/>
      <c r="G32" s="94"/>
      <c r="H32" s="342"/>
      <c r="I32" s="94"/>
      <c r="J32" s="342"/>
      <c r="K32" s="94"/>
      <c r="L32" s="342"/>
      <c r="M32" s="94"/>
      <c r="N32" s="342"/>
      <c r="O32" s="94"/>
      <c r="P32" s="342"/>
      <c r="Q32" s="94"/>
      <c r="R32" s="342"/>
      <c r="S32" s="94"/>
      <c r="T32" s="342"/>
      <c r="U32" s="94"/>
      <c r="V32" s="342"/>
      <c r="W32" s="94"/>
      <c r="X32" s="342"/>
      <c r="Y32" s="94"/>
      <c r="Z32" s="342"/>
      <c r="AA32" s="94"/>
      <c r="AB32" s="342"/>
      <c r="AC32" s="94"/>
      <c r="AD32" s="342"/>
      <c r="AE32" s="94"/>
      <c r="AF32" s="342"/>
    </row>
    <row r="33" spans="1:32" ht="14.25" customHeight="1">
      <c r="A33" s="52" t="s">
        <v>117</v>
      </c>
      <c r="B33" s="141" t="str">
        <f t="shared" si="0"/>
        <v>m3</v>
      </c>
      <c r="C33" s="129"/>
      <c r="D33" s="483"/>
      <c r="E33" s="94"/>
      <c r="F33" s="483"/>
      <c r="G33" s="94"/>
      <c r="H33" s="342"/>
      <c r="I33" s="94"/>
      <c r="J33" s="342"/>
      <c r="K33" s="94"/>
      <c r="L33" s="342"/>
      <c r="M33" s="94"/>
      <c r="N33" s="342"/>
      <c r="O33" s="94"/>
      <c r="P33" s="342"/>
      <c r="Q33" s="94"/>
      <c r="R33" s="342"/>
      <c r="S33" s="94"/>
      <c r="T33" s="342"/>
      <c r="U33" s="94"/>
      <c r="V33" s="342"/>
      <c r="W33" s="94"/>
      <c r="X33" s="342"/>
      <c r="Y33" s="94"/>
      <c r="Z33" s="342"/>
      <c r="AA33" s="94"/>
      <c r="AB33" s="342"/>
      <c r="AC33" s="94"/>
      <c r="AD33" s="342"/>
      <c r="AE33" s="94"/>
      <c r="AF33" s="342"/>
    </row>
    <row r="34" spans="1:32" ht="14.25" customHeight="1">
      <c r="A34" s="52" t="s">
        <v>139</v>
      </c>
      <c r="B34" s="141" t="str">
        <f t="shared" si="0"/>
        <v>m3</v>
      </c>
      <c r="C34" s="129"/>
      <c r="D34" s="483"/>
      <c r="E34" s="94"/>
      <c r="F34" s="483"/>
      <c r="G34" s="94"/>
      <c r="H34" s="342"/>
      <c r="I34" s="94"/>
      <c r="J34" s="342"/>
      <c r="K34" s="94"/>
      <c r="L34" s="342"/>
      <c r="M34" s="94"/>
      <c r="N34" s="342"/>
      <c r="O34" s="94"/>
      <c r="P34" s="342"/>
      <c r="Q34" s="94"/>
      <c r="R34" s="342"/>
      <c r="S34" s="94"/>
      <c r="T34" s="342"/>
      <c r="U34" s="94"/>
      <c r="V34" s="342"/>
      <c r="W34" s="94"/>
      <c r="X34" s="342"/>
      <c r="Y34" s="94"/>
      <c r="Z34" s="342"/>
      <c r="AA34" s="94"/>
      <c r="AB34" s="342"/>
      <c r="AC34" s="94"/>
      <c r="AD34" s="342"/>
      <c r="AE34" s="94"/>
      <c r="AF34" s="342"/>
    </row>
    <row r="35" spans="1:32" ht="14.25" customHeight="1">
      <c r="A35" s="52" t="s">
        <v>118</v>
      </c>
      <c r="B35" s="141" t="str">
        <f t="shared" si="0"/>
        <v>m3</v>
      </c>
      <c r="C35" s="129"/>
      <c r="D35" s="483"/>
      <c r="E35" s="94"/>
      <c r="F35" s="483"/>
      <c r="G35" s="94"/>
      <c r="H35" s="342"/>
      <c r="I35" s="94"/>
      <c r="J35" s="342"/>
      <c r="K35" s="94"/>
      <c r="L35" s="342"/>
      <c r="M35" s="94"/>
      <c r="N35" s="342"/>
      <c r="O35" s="94"/>
      <c r="P35" s="342"/>
      <c r="Q35" s="94"/>
      <c r="R35" s="342"/>
      <c r="S35" s="94"/>
      <c r="T35" s="342"/>
      <c r="U35" s="94"/>
      <c r="V35" s="342"/>
      <c r="W35" s="94"/>
      <c r="X35" s="342"/>
      <c r="Y35" s="94"/>
      <c r="Z35" s="342"/>
      <c r="AA35" s="94"/>
      <c r="AB35" s="342"/>
      <c r="AC35" s="94"/>
      <c r="AD35" s="342"/>
      <c r="AE35" s="94"/>
      <c r="AF35" s="342"/>
    </row>
    <row r="36" spans="1:32" ht="14.25" customHeight="1" thickBot="1">
      <c r="A36" s="52" t="s">
        <v>119</v>
      </c>
      <c r="B36" s="141" t="str">
        <f t="shared" si="0"/>
        <v>m3</v>
      </c>
      <c r="C36" s="129"/>
      <c r="D36" s="483"/>
      <c r="E36" s="94"/>
      <c r="F36" s="483"/>
      <c r="G36" s="94"/>
      <c r="H36" s="355"/>
      <c r="I36" s="94"/>
      <c r="J36" s="355"/>
      <c r="K36" s="94"/>
      <c r="L36" s="355"/>
      <c r="M36" s="94"/>
      <c r="N36" s="355"/>
      <c r="O36" s="94"/>
      <c r="P36" s="355"/>
      <c r="Q36" s="94"/>
      <c r="R36" s="355"/>
      <c r="S36" s="94"/>
      <c r="T36" s="355"/>
      <c r="U36" s="94"/>
      <c r="V36" s="355"/>
      <c r="W36" s="94"/>
      <c r="X36" s="355"/>
      <c r="Y36" s="94"/>
      <c r="Z36" s="355"/>
      <c r="AA36" s="94"/>
      <c r="AB36" s="355"/>
      <c r="AC36" s="94"/>
      <c r="AD36" s="355"/>
      <c r="AE36" s="94"/>
      <c r="AF36" s="355"/>
    </row>
    <row r="37" spans="1:32" ht="16.5" thickBot="1">
      <c r="A37" s="124" t="s">
        <v>120</v>
      </c>
      <c r="B37" s="45"/>
      <c r="C37" s="44"/>
      <c r="D37" s="45"/>
      <c r="E37" s="43"/>
      <c r="F37" s="45"/>
      <c r="G37" s="43"/>
      <c r="H37" s="45"/>
      <c r="I37" s="43"/>
      <c r="J37" s="45"/>
      <c r="K37" s="43"/>
      <c r="L37" s="45"/>
      <c r="M37" s="43"/>
      <c r="N37" s="45"/>
      <c r="O37" s="43"/>
      <c r="P37" s="45"/>
      <c r="Q37" s="43"/>
      <c r="R37" s="45"/>
      <c r="S37" s="43"/>
      <c r="T37" s="45"/>
      <c r="U37" s="43"/>
      <c r="V37" s="45"/>
      <c r="W37" s="43"/>
      <c r="X37" s="45"/>
      <c r="Y37" s="43"/>
      <c r="Z37" s="45"/>
      <c r="AA37" s="43"/>
      <c r="AB37" s="45"/>
      <c r="AC37" s="43"/>
      <c r="AD37" s="45"/>
      <c r="AE37" s="43"/>
      <c r="AF37" s="45"/>
    </row>
    <row r="38" spans="1:32" ht="14.25" customHeight="1">
      <c r="A38" s="107" t="str">
        <f>IF(Metric,"Block 100 mm thick","Block 4 in thick")</f>
        <v>Block 100 mm thick</v>
      </c>
      <c r="B38" s="409" t="str">
        <f t="shared" ref="B38:B45" si="1">IF(Metric,"m2","S.F.")</f>
        <v>m2</v>
      </c>
      <c r="C38" s="184"/>
      <c r="D38" s="364">
        <v>0.2</v>
      </c>
      <c r="E38" s="128"/>
      <c r="F38" s="364">
        <v>0.2</v>
      </c>
      <c r="G38" s="128"/>
      <c r="H38" s="364">
        <v>0.2</v>
      </c>
      <c r="I38" s="128"/>
      <c r="J38" s="364">
        <v>0.2</v>
      </c>
      <c r="K38" s="128"/>
      <c r="L38" s="364">
        <v>0.2</v>
      </c>
      <c r="M38" s="128"/>
      <c r="N38" s="364"/>
      <c r="O38" s="128"/>
      <c r="P38" s="364"/>
      <c r="Q38" s="128"/>
      <c r="R38" s="364"/>
      <c r="S38" s="128"/>
      <c r="T38" s="364"/>
      <c r="U38" s="128"/>
      <c r="V38" s="364"/>
      <c r="W38" s="128"/>
      <c r="X38" s="364"/>
      <c r="Y38" s="128"/>
      <c r="Z38" s="364"/>
      <c r="AA38" s="128"/>
      <c r="AB38" s="364"/>
      <c r="AC38" s="128"/>
      <c r="AD38" s="364"/>
      <c r="AE38" s="128"/>
      <c r="AF38" s="364"/>
    </row>
    <row r="39" spans="1:32" ht="14.25" customHeight="1">
      <c r="A39" s="52" t="str">
        <f>IF(Metric,"Block 150 mm thick","Block 6 in thick")</f>
        <v>Block 150 mm thick</v>
      </c>
      <c r="B39" s="141" t="str">
        <f t="shared" si="1"/>
        <v>m2</v>
      </c>
      <c r="C39" s="129"/>
      <c r="D39" s="365">
        <v>0.2</v>
      </c>
      <c r="E39" s="94"/>
      <c r="F39" s="365">
        <v>0.2</v>
      </c>
      <c r="G39" s="94"/>
      <c r="H39" s="365">
        <v>0.2</v>
      </c>
      <c r="I39" s="94"/>
      <c r="J39" s="365">
        <v>0.2</v>
      </c>
      <c r="K39" s="94"/>
      <c r="L39" s="365">
        <v>0.2</v>
      </c>
      <c r="M39" s="94"/>
      <c r="N39" s="365"/>
      <c r="O39" s="94"/>
      <c r="P39" s="365"/>
      <c r="Q39" s="94"/>
      <c r="R39" s="365"/>
      <c r="S39" s="94"/>
      <c r="T39" s="365"/>
      <c r="U39" s="94"/>
      <c r="V39" s="365"/>
      <c r="W39" s="94"/>
      <c r="X39" s="365"/>
      <c r="Y39" s="94"/>
      <c r="Z39" s="365"/>
      <c r="AA39" s="94"/>
      <c r="AB39" s="365"/>
      <c r="AC39" s="94"/>
      <c r="AD39" s="365"/>
      <c r="AE39" s="94"/>
      <c r="AF39" s="365"/>
    </row>
    <row r="40" spans="1:32" ht="14.25" customHeight="1">
      <c r="A40" s="52" t="str">
        <f>IF(Metric,"Block 200 mm thick","Block 8 in thick")</f>
        <v>Block 200 mm thick</v>
      </c>
      <c r="B40" s="141" t="str">
        <f t="shared" si="1"/>
        <v>m2</v>
      </c>
      <c r="C40" s="129"/>
      <c r="D40" s="365">
        <v>0.2</v>
      </c>
      <c r="E40" s="94"/>
      <c r="F40" s="365">
        <v>0.2</v>
      </c>
      <c r="G40" s="94"/>
      <c r="H40" s="365">
        <v>0.2</v>
      </c>
      <c r="I40" s="94"/>
      <c r="J40" s="365">
        <v>0.2</v>
      </c>
      <c r="K40" s="94"/>
      <c r="L40" s="365">
        <v>0.2</v>
      </c>
      <c r="M40" s="94"/>
      <c r="N40" s="365"/>
      <c r="O40" s="94"/>
      <c r="P40" s="365"/>
      <c r="Q40" s="94"/>
      <c r="R40" s="365"/>
      <c r="S40" s="94"/>
      <c r="T40" s="365"/>
      <c r="U40" s="94"/>
      <c r="V40" s="365"/>
      <c r="W40" s="94"/>
      <c r="X40" s="365"/>
      <c r="Y40" s="94"/>
      <c r="Z40" s="365"/>
      <c r="AA40" s="94"/>
      <c r="AB40" s="365"/>
      <c r="AC40" s="94"/>
      <c r="AD40" s="365"/>
      <c r="AE40" s="94"/>
      <c r="AF40" s="365"/>
    </row>
    <row r="41" spans="1:32" ht="14.25" customHeight="1">
      <c r="A41" s="52" t="str">
        <f>IF(Metric,"Block 300 mm thick","Block 12 in thick")</f>
        <v>Block 300 mm thick</v>
      </c>
      <c r="B41" s="141" t="str">
        <f t="shared" si="1"/>
        <v>m2</v>
      </c>
      <c r="C41" s="129"/>
      <c r="D41" s="365">
        <v>0.2</v>
      </c>
      <c r="E41" s="94"/>
      <c r="F41" s="365">
        <v>0.2</v>
      </c>
      <c r="G41" s="94"/>
      <c r="H41" s="365">
        <v>0.2</v>
      </c>
      <c r="I41" s="94"/>
      <c r="J41" s="365">
        <v>0.2</v>
      </c>
      <c r="K41" s="94"/>
      <c r="L41" s="365">
        <v>0.2</v>
      </c>
      <c r="M41" s="94"/>
      <c r="N41" s="365"/>
      <c r="O41" s="94"/>
      <c r="P41" s="365"/>
      <c r="Q41" s="94"/>
      <c r="R41" s="365"/>
      <c r="S41" s="94"/>
      <c r="T41" s="365"/>
      <c r="U41" s="94"/>
      <c r="V41" s="365"/>
      <c r="W41" s="94"/>
      <c r="X41" s="365"/>
      <c r="Y41" s="94"/>
      <c r="Z41" s="365"/>
      <c r="AA41" s="94"/>
      <c r="AB41" s="365"/>
      <c r="AC41" s="94"/>
      <c r="AD41" s="365"/>
      <c r="AE41" s="94"/>
      <c r="AF41" s="365"/>
    </row>
    <row r="42" spans="1:32" ht="14.25" customHeight="1">
      <c r="A42" s="52" t="str">
        <f>IF(Metric,"Conc 150 mm thick","Conc 6 in thick")</f>
        <v>Conc 150 mm thick</v>
      </c>
      <c r="B42" s="141" t="str">
        <f t="shared" si="1"/>
        <v>m2</v>
      </c>
      <c r="C42" s="129"/>
      <c r="D42" s="365">
        <v>0.1</v>
      </c>
      <c r="E42" s="94"/>
      <c r="F42" s="365">
        <v>0.1</v>
      </c>
      <c r="G42" s="94"/>
      <c r="H42" s="365">
        <v>0.1</v>
      </c>
      <c r="I42" s="94"/>
      <c r="J42" s="365">
        <v>0.1</v>
      </c>
      <c r="K42" s="94"/>
      <c r="L42" s="365">
        <v>0.1</v>
      </c>
      <c r="M42" s="94"/>
      <c r="N42" s="365"/>
      <c r="O42" s="94"/>
      <c r="P42" s="365"/>
      <c r="Q42" s="94"/>
      <c r="R42" s="365"/>
      <c r="S42" s="94"/>
      <c r="T42" s="365"/>
      <c r="U42" s="94"/>
      <c r="V42" s="365"/>
      <c r="W42" s="94"/>
      <c r="X42" s="365"/>
      <c r="Y42" s="94"/>
      <c r="Z42" s="365"/>
      <c r="AA42" s="94"/>
      <c r="AB42" s="365"/>
      <c r="AC42" s="94"/>
      <c r="AD42" s="365"/>
      <c r="AE42" s="94"/>
      <c r="AF42" s="365"/>
    </row>
    <row r="43" spans="1:32" ht="14.25" customHeight="1">
      <c r="A43" s="52" t="str">
        <f>IF(Metric,"Conc 200 mm thick","Conc 8 in thick")</f>
        <v>Conc 200 mm thick</v>
      </c>
      <c r="B43" s="141" t="str">
        <f t="shared" si="1"/>
        <v>m2</v>
      </c>
      <c r="C43" s="129"/>
      <c r="D43" s="365">
        <v>0.1</v>
      </c>
      <c r="E43" s="94"/>
      <c r="F43" s="365">
        <v>0.1</v>
      </c>
      <c r="G43" s="94"/>
      <c r="H43" s="365">
        <v>0.1</v>
      </c>
      <c r="I43" s="94"/>
      <c r="J43" s="365">
        <v>0.1</v>
      </c>
      <c r="K43" s="94"/>
      <c r="L43" s="365">
        <v>0.1</v>
      </c>
      <c r="M43" s="94"/>
      <c r="N43" s="365"/>
      <c r="O43" s="94"/>
      <c r="P43" s="365"/>
      <c r="Q43" s="94"/>
      <c r="R43" s="365"/>
      <c r="S43" s="94"/>
      <c r="T43" s="365"/>
      <c r="U43" s="94"/>
      <c r="V43" s="365"/>
      <c r="W43" s="94"/>
      <c r="X43" s="365"/>
      <c r="Y43" s="94"/>
      <c r="Z43" s="365"/>
      <c r="AA43" s="94"/>
      <c r="AB43" s="365"/>
      <c r="AC43" s="94"/>
      <c r="AD43" s="365"/>
      <c r="AE43" s="94"/>
      <c r="AF43" s="365"/>
    </row>
    <row r="44" spans="1:32" ht="14.25" customHeight="1">
      <c r="A44" s="52" t="str">
        <f>IF(Metric,"Conc 250 mm thick","Conc 10 in thick")</f>
        <v>Conc 250 mm thick</v>
      </c>
      <c r="B44" s="141" t="str">
        <f t="shared" si="1"/>
        <v>m2</v>
      </c>
      <c r="C44" s="129"/>
      <c r="D44" s="365">
        <v>0.1</v>
      </c>
      <c r="E44" s="94"/>
      <c r="F44" s="365">
        <v>0.1</v>
      </c>
      <c r="G44" s="94"/>
      <c r="H44" s="365">
        <v>0.1</v>
      </c>
      <c r="I44" s="94"/>
      <c r="J44" s="365">
        <v>0.1</v>
      </c>
      <c r="K44" s="94"/>
      <c r="L44" s="365">
        <v>0.1</v>
      </c>
      <c r="M44" s="94"/>
      <c r="N44" s="365"/>
      <c r="O44" s="94"/>
      <c r="P44" s="365"/>
      <c r="Q44" s="94"/>
      <c r="R44" s="365"/>
      <c r="S44" s="94"/>
      <c r="T44" s="365"/>
      <c r="U44" s="94"/>
      <c r="V44" s="365"/>
      <c r="W44" s="94"/>
      <c r="X44" s="365"/>
      <c r="Y44" s="94"/>
      <c r="Z44" s="365"/>
      <c r="AA44" s="94"/>
      <c r="AB44" s="365"/>
      <c r="AC44" s="94"/>
      <c r="AD44" s="365"/>
      <c r="AE44" s="94"/>
      <c r="AF44" s="365"/>
    </row>
    <row r="45" spans="1:32" ht="14.25" customHeight="1" thickBot="1">
      <c r="A45" s="52" t="str">
        <f>IF(Metric,"Conc 300 mm thick","Conc 12 in thick")</f>
        <v>Conc 300 mm thick</v>
      </c>
      <c r="B45" s="243" t="str">
        <f t="shared" si="1"/>
        <v>m2</v>
      </c>
      <c r="C45" s="129"/>
      <c r="D45" s="366">
        <v>0.1</v>
      </c>
      <c r="E45" s="94"/>
      <c r="F45" s="366">
        <v>0.1</v>
      </c>
      <c r="G45" s="94"/>
      <c r="H45" s="366">
        <v>0.1</v>
      </c>
      <c r="I45" s="94"/>
      <c r="J45" s="366">
        <v>0.1</v>
      </c>
      <c r="K45" s="94"/>
      <c r="L45" s="366">
        <v>0.1</v>
      </c>
      <c r="M45" s="94"/>
      <c r="N45" s="366"/>
      <c r="O45" s="94"/>
      <c r="P45" s="366"/>
      <c r="Q45" s="94"/>
      <c r="R45" s="366"/>
      <c r="S45" s="94"/>
      <c r="T45" s="366"/>
      <c r="U45" s="94"/>
      <c r="V45" s="366"/>
      <c r="W45" s="94"/>
      <c r="X45" s="366"/>
      <c r="Y45" s="94"/>
      <c r="Z45" s="366"/>
      <c r="AA45" s="94"/>
      <c r="AB45" s="366"/>
      <c r="AC45" s="94"/>
      <c r="AD45" s="366"/>
      <c r="AE45" s="94"/>
      <c r="AF45" s="366"/>
    </row>
    <row r="46" spans="1:32" s="62" customFormat="1" ht="16.5" thickBot="1">
      <c r="A46" s="112" t="s">
        <v>277</v>
      </c>
      <c r="B46" s="114"/>
      <c r="C46" s="113"/>
      <c r="D46" s="114"/>
      <c r="E46" s="113"/>
      <c r="F46" s="114"/>
      <c r="G46" s="113"/>
      <c r="H46" s="114"/>
      <c r="I46" s="113"/>
      <c r="J46" s="114"/>
      <c r="K46" s="113"/>
      <c r="L46" s="114"/>
      <c r="M46" s="113"/>
      <c r="N46" s="114"/>
      <c r="O46" s="113"/>
      <c r="P46" s="114"/>
      <c r="Q46" s="113"/>
      <c r="R46" s="114"/>
      <c r="S46" s="113"/>
      <c r="T46" s="114"/>
      <c r="U46" s="113"/>
      <c r="V46" s="114"/>
      <c r="W46" s="113"/>
      <c r="X46" s="114"/>
      <c r="Y46" s="113"/>
      <c r="Z46" s="114"/>
      <c r="AA46" s="113"/>
      <c r="AB46" s="114"/>
      <c r="AC46" s="113"/>
      <c r="AD46" s="114"/>
      <c r="AE46" s="113"/>
      <c r="AF46" s="114"/>
    </row>
    <row r="47" spans="1:32" ht="13.5" thickBot="1">
      <c r="A47" s="127" t="s">
        <v>96</v>
      </c>
      <c r="B47" s="134" t="s">
        <v>87</v>
      </c>
      <c r="C47" s="137" t="s">
        <v>110</v>
      </c>
      <c r="D47" s="138"/>
      <c r="E47" s="137" t="s">
        <v>110</v>
      </c>
      <c r="F47" s="138"/>
      <c r="G47" s="137" t="s">
        <v>110</v>
      </c>
      <c r="H47" s="138"/>
      <c r="I47" s="137" t="s">
        <v>110</v>
      </c>
      <c r="J47" s="138"/>
      <c r="K47" s="137" t="s">
        <v>110</v>
      </c>
      <c r="L47" s="138"/>
      <c r="M47" s="137" t="s">
        <v>110</v>
      </c>
      <c r="N47" s="138"/>
      <c r="O47" s="137" t="s">
        <v>110</v>
      </c>
      <c r="P47" s="138"/>
      <c r="Q47" s="137" t="s">
        <v>110</v>
      </c>
      <c r="R47" s="138"/>
      <c r="S47" s="137" t="s">
        <v>110</v>
      </c>
      <c r="T47" s="138"/>
      <c r="U47" s="137" t="s">
        <v>110</v>
      </c>
      <c r="V47" s="138" t="s">
        <v>111</v>
      </c>
      <c r="W47" s="137" t="s">
        <v>110</v>
      </c>
      <c r="X47" s="138"/>
      <c r="Y47" s="137" t="s">
        <v>110</v>
      </c>
      <c r="Z47" s="138"/>
      <c r="AA47" s="137" t="s">
        <v>110</v>
      </c>
      <c r="AB47" s="138"/>
      <c r="AC47" s="137" t="s">
        <v>110</v>
      </c>
      <c r="AD47" s="138"/>
      <c r="AE47" s="137" t="s">
        <v>110</v>
      </c>
      <c r="AF47" s="138"/>
    </row>
    <row r="48" spans="1:32" ht="16.5" customHeight="1" thickBot="1">
      <c r="A48" s="124" t="s">
        <v>278</v>
      </c>
      <c r="B48" s="44"/>
      <c r="C48" s="43"/>
      <c r="D48" s="45"/>
      <c r="E48" s="43"/>
      <c r="F48" s="45"/>
      <c r="G48" s="43"/>
      <c r="H48" s="45"/>
      <c r="I48" s="43"/>
      <c r="J48" s="45"/>
      <c r="K48" s="43"/>
      <c r="L48" s="45"/>
      <c r="M48" s="43"/>
      <c r="N48" s="45"/>
      <c r="O48" s="43"/>
      <c r="P48" s="45"/>
      <c r="Q48" s="43"/>
      <c r="R48" s="45"/>
      <c r="S48" s="43"/>
      <c r="T48" s="45"/>
      <c r="U48" s="43"/>
      <c r="V48" s="45"/>
      <c r="W48" s="43"/>
      <c r="X48" s="45"/>
      <c r="Y48" s="43"/>
      <c r="Z48" s="45"/>
      <c r="AA48" s="43"/>
      <c r="AB48" s="45"/>
      <c r="AC48" s="43"/>
      <c r="AD48" s="45"/>
      <c r="AE48" s="43"/>
      <c r="AF48" s="45"/>
    </row>
    <row r="49" spans="1:32" ht="14.25" customHeight="1">
      <c r="A49" s="107" t="s">
        <v>279</v>
      </c>
      <c r="B49" s="128" t="s">
        <v>131</v>
      </c>
      <c r="C49" s="360">
        <v>180.56</v>
      </c>
      <c r="D49" s="230"/>
      <c r="E49" s="475">
        <v>180.56</v>
      </c>
      <c r="F49" s="230"/>
      <c r="G49" s="360"/>
      <c r="H49" s="230"/>
      <c r="I49" s="360"/>
      <c r="J49" s="230"/>
      <c r="K49" s="360"/>
      <c r="L49" s="230"/>
      <c r="M49" s="360"/>
      <c r="N49" s="230"/>
      <c r="O49" s="360"/>
      <c r="P49" s="230"/>
      <c r="Q49" s="360"/>
      <c r="R49" s="230"/>
      <c r="S49" s="360"/>
      <c r="T49" s="230"/>
      <c r="U49" s="360"/>
      <c r="V49" s="230"/>
      <c r="W49" s="360"/>
      <c r="X49" s="230"/>
      <c r="Y49" s="360"/>
      <c r="Z49" s="230"/>
      <c r="AA49" s="360"/>
      <c r="AB49" s="230"/>
      <c r="AC49" s="360"/>
      <c r="AD49" s="230"/>
      <c r="AE49" s="360"/>
      <c r="AF49" s="230"/>
    </row>
    <row r="50" spans="1:32" ht="14.25" customHeight="1">
      <c r="A50" s="52" t="s">
        <v>280</v>
      </c>
      <c r="B50" s="128" t="s">
        <v>131</v>
      </c>
      <c r="C50" s="361">
        <v>180.56</v>
      </c>
      <c r="D50" s="70"/>
      <c r="E50" s="479">
        <v>180.56</v>
      </c>
      <c r="F50" s="70"/>
      <c r="G50" s="361"/>
      <c r="H50" s="70"/>
      <c r="I50" s="361"/>
      <c r="J50" s="70"/>
      <c r="K50" s="361"/>
      <c r="L50" s="70"/>
      <c r="M50" s="361"/>
      <c r="N50" s="70"/>
      <c r="O50" s="361"/>
      <c r="P50" s="70"/>
      <c r="Q50" s="361"/>
      <c r="R50" s="70"/>
      <c r="S50" s="361"/>
      <c r="T50" s="70"/>
      <c r="U50" s="361"/>
      <c r="V50" s="70"/>
      <c r="W50" s="361"/>
      <c r="X50" s="70"/>
      <c r="Y50" s="361"/>
      <c r="Z50" s="70"/>
      <c r="AA50" s="361"/>
      <c r="AB50" s="70"/>
      <c r="AC50" s="361"/>
      <c r="AD50" s="70"/>
      <c r="AE50" s="361"/>
      <c r="AF50" s="70"/>
    </row>
    <row r="51" spans="1:32" ht="14.25" customHeight="1">
      <c r="A51" s="52" t="s">
        <v>281</v>
      </c>
      <c r="B51" s="128" t="s">
        <v>131</v>
      </c>
      <c r="C51" s="361">
        <v>400</v>
      </c>
      <c r="D51" s="70"/>
      <c r="E51" s="479">
        <v>400</v>
      </c>
      <c r="F51" s="70"/>
      <c r="G51" s="361"/>
      <c r="H51" s="70"/>
      <c r="I51" s="361"/>
      <c r="J51" s="70"/>
      <c r="K51" s="361"/>
      <c r="L51" s="70"/>
      <c r="M51" s="361"/>
      <c r="N51" s="70"/>
      <c r="O51" s="361"/>
      <c r="P51" s="70"/>
      <c r="Q51" s="361"/>
      <c r="R51" s="70"/>
      <c r="S51" s="361"/>
      <c r="T51" s="70"/>
      <c r="U51" s="361"/>
      <c r="V51" s="70"/>
      <c r="W51" s="361"/>
      <c r="X51" s="70"/>
      <c r="Y51" s="361"/>
      <c r="Z51" s="70"/>
      <c r="AA51" s="361"/>
      <c r="AB51" s="70"/>
      <c r="AC51" s="361"/>
      <c r="AD51" s="70"/>
      <c r="AE51" s="361"/>
      <c r="AF51" s="70"/>
    </row>
    <row r="52" spans="1:32" ht="14.25" customHeight="1" thickBot="1">
      <c r="A52" s="216" t="s">
        <v>282</v>
      </c>
      <c r="B52" s="97" t="str">
        <f>IF(Metric,"tonne","ton")</f>
        <v>tonne</v>
      </c>
      <c r="C52" s="363">
        <v>75</v>
      </c>
      <c r="D52" s="217"/>
      <c r="E52" s="481">
        <v>88.379429559204837</v>
      </c>
      <c r="F52" s="217"/>
      <c r="G52" s="363"/>
      <c r="H52" s="217"/>
      <c r="I52" s="363"/>
      <c r="J52" s="217"/>
      <c r="K52" s="363"/>
      <c r="L52" s="217"/>
      <c r="M52" s="363"/>
      <c r="N52" s="217"/>
      <c r="O52" s="363"/>
      <c r="P52" s="217"/>
      <c r="Q52" s="363"/>
      <c r="R52" s="217"/>
      <c r="S52" s="363"/>
      <c r="T52" s="217"/>
      <c r="U52" s="363"/>
      <c r="V52" s="217"/>
      <c r="W52" s="363"/>
      <c r="X52" s="217"/>
      <c r="Y52" s="363"/>
      <c r="Z52" s="217"/>
      <c r="AA52" s="363"/>
      <c r="AB52" s="217"/>
      <c r="AC52" s="363"/>
      <c r="AD52" s="217"/>
      <c r="AE52" s="363"/>
      <c r="AF52" s="217"/>
    </row>
    <row r="53" spans="1:32">
      <c r="A53" s="100"/>
      <c r="B53" s="38"/>
      <c r="C53" s="100"/>
      <c r="D53" s="38"/>
      <c r="E53" s="100"/>
      <c r="F53" s="38"/>
      <c r="G53" s="100"/>
      <c r="H53" s="38"/>
      <c r="I53" s="100"/>
      <c r="J53" s="38"/>
      <c r="K53" s="100"/>
      <c r="L53" s="38"/>
      <c r="M53" s="100"/>
      <c r="N53" s="38"/>
      <c r="O53" s="100"/>
      <c r="P53" s="38"/>
      <c r="Q53" s="100"/>
      <c r="R53" s="38"/>
      <c r="S53" s="100"/>
      <c r="T53" s="38"/>
      <c r="U53" s="100"/>
      <c r="V53" s="38"/>
      <c r="W53" s="100"/>
      <c r="X53" s="38"/>
      <c r="Y53" s="100"/>
      <c r="Z53" s="38"/>
      <c r="AA53" s="100"/>
      <c r="AB53" s="38"/>
      <c r="AC53" s="100"/>
      <c r="AD53" s="38"/>
      <c r="AE53" s="100"/>
      <c r="AF53" s="38"/>
    </row>
    <row r="54" spans="1:32" ht="15.75" thickBot="1">
      <c r="A54" s="125" t="s">
        <v>79</v>
      </c>
      <c r="B54" s="126"/>
      <c r="C54" s="179"/>
      <c r="D54" s="180"/>
      <c r="E54" s="179"/>
      <c r="F54" s="180"/>
      <c r="G54" s="179"/>
      <c r="H54" s="180"/>
      <c r="I54" s="179"/>
      <c r="J54" s="180"/>
      <c r="K54" s="179"/>
      <c r="L54" s="180"/>
      <c r="M54" s="179"/>
      <c r="N54" s="180"/>
      <c r="O54" s="179"/>
      <c r="P54" s="180"/>
      <c r="Q54" s="179"/>
      <c r="R54" s="180"/>
      <c r="S54" s="179"/>
      <c r="T54" s="180"/>
      <c r="U54" s="179"/>
      <c r="V54" s="180"/>
      <c r="W54" s="179"/>
      <c r="X54" s="180"/>
      <c r="Y54" s="179"/>
      <c r="Z54" s="180"/>
      <c r="AA54" s="179"/>
      <c r="AB54" s="180"/>
      <c r="AC54" s="179"/>
      <c r="AD54" s="180"/>
      <c r="AE54" s="179"/>
      <c r="AF54" s="180"/>
    </row>
    <row r="55" spans="1:32" ht="25.5" customHeight="1">
      <c r="A55" s="238"/>
      <c r="B55" s="239" t="s">
        <v>283</v>
      </c>
      <c r="C55" s="639" t="s">
        <v>435</v>
      </c>
      <c r="D55" s="640"/>
      <c r="E55" s="639" t="s">
        <v>436</v>
      </c>
      <c r="F55" s="640"/>
      <c r="G55" s="639"/>
      <c r="H55" s="640"/>
      <c r="I55" s="639"/>
      <c r="J55" s="640"/>
      <c r="K55" s="639"/>
      <c r="L55" s="640"/>
      <c r="M55" s="641"/>
      <c r="N55" s="642"/>
      <c r="O55" s="641"/>
      <c r="P55" s="642"/>
      <c r="Q55" s="641"/>
      <c r="R55" s="642"/>
      <c r="S55" s="641"/>
      <c r="T55" s="642"/>
      <c r="U55" s="641"/>
      <c r="V55" s="642"/>
      <c r="W55" s="641"/>
      <c r="X55" s="642"/>
      <c r="Y55" s="641"/>
      <c r="Z55" s="642"/>
      <c r="AA55" s="641"/>
      <c r="AB55" s="642"/>
      <c r="AC55" s="641"/>
      <c r="AD55" s="642"/>
      <c r="AE55" s="641"/>
      <c r="AF55" s="642"/>
    </row>
    <row r="56" spans="1:32" ht="25.5" customHeight="1" thickBot="1">
      <c r="A56" s="238"/>
      <c r="B56" s="239" t="s">
        <v>284</v>
      </c>
      <c r="C56" s="635" t="s">
        <v>437</v>
      </c>
      <c r="D56" s="636"/>
      <c r="E56" s="635" t="s">
        <v>437</v>
      </c>
      <c r="F56" s="636"/>
      <c r="G56" s="635"/>
      <c r="H56" s="636"/>
      <c r="I56" s="635"/>
      <c r="J56" s="636"/>
      <c r="K56" s="635"/>
      <c r="L56" s="636"/>
      <c r="M56" s="635"/>
      <c r="N56" s="636"/>
      <c r="O56" s="635"/>
      <c r="P56" s="636"/>
      <c r="Q56" s="635"/>
      <c r="R56" s="636"/>
      <c r="S56" s="635"/>
      <c r="T56" s="636"/>
      <c r="U56" s="635"/>
      <c r="V56" s="636"/>
      <c r="W56" s="635"/>
      <c r="X56" s="636"/>
      <c r="Y56" s="635"/>
      <c r="Z56" s="636"/>
      <c r="AA56" s="635"/>
      <c r="AB56" s="636"/>
      <c r="AC56" s="635"/>
      <c r="AD56" s="636"/>
      <c r="AE56" s="635"/>
      <c r="AF56" s="636"/>
    </row>
    <row r="57" spans="1:32" ht="16.5" customHeight="1" thickBot="1">
      <c r="A57" s="124" t="s">
        <v>286</v>
      </c>
      <c r="B57" s="44"/>
      <c r="C57" s="43"/>
      <c r="D57" s="45"/>
      <c r="E57" s="43"/>
      <c r="F57" s="45"/>
      <c r="G57" s="43"/>
      <c r="H57" s="45"/>
      <c r="I57" s="43"/>
      <c r="J57" s="45"/>
      <c r="K57" s="43"/>
      <c r="L57" s="45"/>
      <c r="M57" s="43"/>
      <c r="N57" s="45"/>
      <c r="O57" s="43"/>
      <c r="P57" s="45"/>
      <c r="Q57" s="43"/>
      <c r="R57" s="45"/>
      <c r="S57" s="43"/>
      <c r="T57" s="45"/>
      <c r="U57" s="43"/>
      <c r="V57" s="45"/>
      <c r="W57" s="43"/>
      <c r="X57" s="45"/>
      <c r="Y57" s="43"/>
      <c r="Z57" s="45"/>
      <c r="AA57" s="43"/>
      <c r="AB57" s="45"/>
      <c r="AC57" s="43"/>
      <c r="AD57" s="45"/>
      <c r="AE57" s="43"/>
      <c r="AF57" s="45"/>
    </row>
    <row r="58" spans="1:32" ht="14.25" customHeight="1">
      <c r="A58" s="107" t="s">
        <v>287</v>
      </c>
      <c r="B58" s="128" t="s">
        <v>131</v>
      </c>
      <c r="C58" s="360">
        <v>6.42</v>
      </c>
      <c r="D58" s="230"/>
      <c r="E58" s="475">
        <v>6.42</v>
      </c>
      <c r="F58" s="230"/>
      <c r="G58" s="360"/>
      <c r="H58" s="230"/>
      <c r="I58" s="360"/>
      <c r="J58" s="230"/>
      <c r="K58" s="360"/>
      <c r="L58" s="230"/>
      <c r="M58" s="360"/>
      <c r="N58" s="230"/>
      <c r="O58" s="360"/>
      <c r="P58" s="230"/>
      <c r="Q58" s="360"/>
      <c r="R58" s="230"/>
      <c r="S58" s="360"/>
      <c r="T58" s="230"/>
      <c r="U58" s="360"/>
      <c r="V58" s="230"/>
      <c r="W58" s="360"/>
      <c r="X58" s="230"/>
      <c r="Y58" s="360"/>
      <c r="Z58" s="230"/>
      <c r="AA58" s="360"/>
      <c r="AB58" s="230"/>
      <c r="AC58" s="360"/>
      <c r="AD58" s="230"/>
      <c r="AE58" s="360"/>
      <c r="AF58" s="230"/>
    </row>
    <row r="59" spans="1:32" ht="14.25" customHeight="1">
      <c r="A59" s="52" t="s">
        <v>285</v>
      </c>
      <c r="B59" s="94" t="str">
        <f>IF(Metric,"tonne","ton")</f>
        <v>tonne</v>
      </c>
      <c r="C59" s="361">
        <v>355</v>
      </c>
      <c r="D59" s="70"/>
      <c r="E59" s="479">
        <v>355</v>
      </c>
      <c r="F59" s="70"/>
      <c r="G59" s="361"/>
      <c r="H59" s="70"/>
      <c r="I59" s="361"/>
      <c r="J59" s="70"/>
      <c r="K59" s="361"/>
      <c r="L59" s="70"/>
      <c r="M59" s="361"/>
      <c r="N59" s="70"/>
      <c r="O59" s="361"/>
      <c r="P59" s="70"/>
      <c r="Q59" s="361"/>
      <c r="R59" s="70"/>
      <c r="S59" s="361"/>
      <c r="T59" s="70"/>
      <c r="U59" s="361"/>
      <c r="V59" s="70"/>
      <c r="W59" s="361"/>
      <c r="X59" s="70"/>
      <c r="Y59" s="361"/>
      <c r="Z59" s="70"/>
      <c r="AA59" s="361"/>
      <c r="AB59" s="70"/>
      <c r="AC59" s="361"/>
      <c r="AD59" s="70"/>
      <c r="AE59" s="361"/>
      <c r="AF59" s="70"/>
    </row>
    <row r="60" spans="1:32" ht="14.25" customHeight="1">
      <c r="A60" s="52" t="s">
        <v>288</v>
      </c>
      <c r="B60" s="94" t="str">
        <f>IF(Metric,"km","mile")</f>
        <v>km</v>
      </c>
      <c r="C60" s="361">
        <v>3.6</v>
      </c>
      <c r="D60" s="70"/>
      <c r="E60" s="479">
        <v>3.6</v>
      </c>
      <c r="F60" s="70"/>
      <c r="G60" s="361"/>
      <c r="H60" s="70"/>
      <c r="I60" s="361"/>
      <c r="J60" s="70"/>
      <c r="K60" s="361"/>
      <c r="L60" s="70"/>
      <c r="M60" s="361"/>
      <c r="N60" s="70"/>
      <c r="O60" s="361"/>
      <c r="P60" s="70"/>
      <c r="Q60" s="361"/>
      <c r="R60" s="70"/>
      <c r="S60" s="361"/>
      <c r="T60" s="70"/>
      <c r="U60" s="361"/>
      <c r="V60" s="70"/>
      <c r="W60" s="361"/>
      <c r="X60" s="70"/>
      <c r="Y60" s="361"/>
      <c r="Z60" s="70"/>
      <c r="AA60" s="361"/>
      <c r="AB60" s="70"/>
      <c r="AC60" s="361"/>
      <c r="AD60" s="70"/>
      <c r="AE60" s="361"/>
      <c r="AF60" s="70"/>
    </row>
    <row r="61" spans="1:32" ht="14.25" customHeight="1" thickBot="1">
      <c r="A61" s="216" t="s">
        <v>289</v>
      </c>
      <c r="B61" s="97" t="str">
        <f>IF(Metric,"tonne","ton")</f>
        <v>tonne</v>
      </c>
      <c r="C61" s="363">
        <v>160</v>
      </c>
      <c r="D61" s="217"/>
      <c r="E61" s="481">
        <v>200</v>
      </c>
      <c r="F61" s="217"/>
      <c r="G61" s="363"/>
      <c r="H61" s="217"/>
      <c r="I61" s="363"/>
      <c r="J61" s="217"/>
      <c r="K61" s="363"/>
      <c r="L61" s="217"/>
      <c r="M61" s="363"/>
      <c r="N61" s="217"/>
      <c r="O61" s="363"/>
      <c r="P61" s="217"/>
      <c r="Q61" s="363"/>
      <c r="R61" s="217"/>
      <c r="S61" s="363"/>
      <c r="T61" s="217"/>
      <c r="U61" s="363"/>
      <c r="V61" s="217"/>
      <c r="W61" s="363"/>
      <c r="X61" s="217"/>
      <c r="Y61" s="363"/>
      <c r="Z61" s="217"/>
      <c r="AA61" s="363"/>
      <c r="AB61" s="217"/>
      <c r="AC61" s="363"/>
      <c r="AD61" s="217"/>
      <c r="AE61" s="363"/>
      <c r="AF61" s="217"/>
    </row>
    <row r="62" spans="1:32">
      <c r="A62" s="100"/>
      <c r="B62" s="38"/>
      <c r="C62" s="100"/>
      <c r="D62" s="38"/>
      <c r="E62" s="100"/>
      <c r="F62" s="38"/>
      <c r="G62" s="100"/>
      <c r="H62" s="38"/>
      <c r="I62" s="100"/>
      <c r="J62" s="38"/>
      <c r="K62" s="100"/>
      <c r="L62" s="38"/>
      <c r="M62" s="100"/>
      <c r="N62" s="38"/>
      <c r="O62" s="100"/>
      <c r="P62" s="38"/>
      <c r="Q62" s="100"/>
      <c r="R62" s="38"/>
      <c r="S62" s="100"/>
      <c r="T62" s="38"/>
      <c r="U62" s="100"/>
      <c r="V62" s="38"/>
      <c r="W62" s="100"/>
      <c r="X62" s="38"/>
      <c r="Y62" s="100"/>
      <c r="Z62" s="38"/>
      <c r="AA62" s="100"/>
      <c r="AB62" s="38"/>
      <c r="AC62" s="100"/>
      <c r="AD62" s="38"/>
      <c r="AE62" s="100"/>
      <c r="AF62" s="38"/>
    </row>
    <row r="63" spans="1:32" ht="15.75" thickBot="1">
      <c r="A63" s="125" t="s">
        <v>79</v>
      </c>
      <c r="B63" s="126"/>
      <c r="C63" s="179"/>
      <c r="D63" s="180"/>
      <c r="E63" s="179"/>
      <c r="F63" s="180"/>
      <c r="G63" s="179"/>
      <c r="H63" s="180"/>
      <c r="I63" s="179"/>
      <c r="J63" s="180"/>
      <c r="K63" s="179"/>
      <c r="L63" s="180"/>
      <c r="M63" s="179"/>
      <c r="N63" s="180"/>
      <c r="O63" s="179"/>
      <c r="P63" s="180"/>
      <c r="Q63" s="179"/>
      <c r="R63" s="180"/>
      <c r="S63" s="179"/>
      <c r="T63" s="180"/>
      <c r="U63" s="179"/>
      <c r="V63" s="180"/>
      <c r="W63" s="179"/>
      <c r="X63" s="180"/>
      <c r="Y63" s="179"/>
      <c r="Z63" s="180"/>
      <c r="AA63" s="179"/>
      <c r="AB63" s="180"/>
      <c r="AC63" s="179"/>
      <c r="AD63" s="180"/>
      <c r="AE63" s="179"/>
      <c r="AF63" s="180"/>
    </row>
    <row r="64" spans="1:32" ht="25.5" customHeight="1">
      <c r="A64" s="238"/>
      <c r="B64" s="239" t="s">
        <v>297</v>
      </c>
      <c r="C64" s="639" t="s">
        <v>435</v>
      </c>
      <c r="D64" s="640"/>
      <c r="E64" s="639" t="s">
        <v>436</v>
      </c>
      <c r="F64" s="640"/>
      <c r="G64" s="639"/>
      <c r="H64" s="640"/>
      <c r="I64" s="639"/>
      <c r="J64" s="640"/>
      <c r="K64" s="639"/>
      <c r="L64" s="640"/>
      <c r="M64" s="641"/>
      <c r="N64" s="642"/>
      <c r="O64" s="641"/>
      <c r="P64" s="642"/>
      <c r="Q64" s="641"/>
      <c r="R64" s="642"/>
      <c r="S64" s="641"/>
      <c r="T64" s="642"/>
      <c r="U64" s="641"/>
      <c r="V64" s="642"/>
      <c r="W64" s="641"/>
      <c r="X64" s="642"/>
      <c r="Y64" s="641"/>
      <c r="Z64" s="642"/>
      <c r="AA64" s="641"/>
      <c r="AB64" s="642"/>
      <c r="AC64" s="641"/>
      <c r="AD64" s="642"/>
      <c r="AE64" s="641"/>
      <c r="AF64" s="642"/>
    </row>
    <row r="65" spans="1:32" ht="25.5" customHeight="1" thickBot="1">
      <c r="A65" s="238"/>
      <c r="B65" s="239" t="s">
        <v>298</v>
      </c>
      <c r="C65" s="635" t="s">
        <v>437</v>
      </c>
      <c r="D65" s="636"/>
      <c r="E65" s="635" t="s">
        <v>437</v>
      </c>
      <c r="F65" s="636"/>
      <c r="G65" s="635"/>
      <c r="H65" s="636"/>
      <c r="I65" s="635"/>
      <c r="J65" s="636"/>
      <c r="K65" s="635"/>
      <c r="L65" s="636"/>
      <c r="M65" s="637"/>
      <c r="N65" s="638"/>
      <c r="O65" s="637"/>
      <c r="P65" s="638"/>
      <c r="Q65" s="637"/>
      <c r="R65" s="638"/>
      <c r="S65" s="637"/>
      <c r="T65" s="638"/>
      <c r="U65" s="637"/>
      <c r="V65" s="638"/>
      <c r="W65" s="637"/>
      <c r="X65" s="638"/>
      <c r="Y65" s="637"/>
      <c r="Z65" s="638"/>
      <c r="AA65" s="637"/>
      <c r="AB65" s="638"/>
      <c r="AC65" s="637"/>
      <c r="AD65" s="638"/>
      <c r="AE65" s="637"/>
      <c r="AF65" s="638"/>
    </row>
    <row r="66" spans="1:32" ht="16.5" customHeight="1" thickBot="1">
      <c r="A66" s="124" t="s">
        <v>290</v>
      </c>
      <c r="B66" s="44"/>
      <c r="C66" s="43"/>
      <c r="D66" s="45"/>
      <c r="E66" s="43"/>
      <c r="F66" s="45"/>
      <c r="G66" s="43"/>
      <c r="H66" s="45"/>
      <c r="I66" s="43"/>
      <c r="J66" s="45"/>
      <c r="K66" s="43"/>
      <c r="L66" s="45"/>
      <c r="M66" s="43"/>
      <c r="N66" s="45"/>
      <c r="O66" s="43"/>
      <c r="P66" s="45"/>
      <c r="Q66" s="43"/>
      <c r="R66" s="45"/>
      <c r="S66" s="43"/>
      <c r="T66" s="45"/>
      <c r="U66" s="43"/>
      <c r="V66" s="45"/>
      <c r="W66" s="43"/>
      <c r="X66" s="45"/>
      <c r="Y66" s="43"/>
      <c r="Z66" s="45"/>
      <c r="AA66" s="43"/>
      <c r="AB66" s="45"/>
      <c r="AC66" s="43"/>
      <c r="AD66" s="45"/>
      <c r="AE66" s="43"/>
      <c r="AF66" s="45"/>
    </row>
    <row r="67" spans="1:32" ht="14.25" customHeight="1">
      <c r="A67" s="107" t="s">
        <v>320</v>
      </c>
      <c r="B67" s="128" t="s">
        <v>291</v>
      </c>
      <c r="C67" s="360">
        <v>190</v>
      </c>
      <c r="D67" s="230"/>
      <c r="E67" s="475">
        <v>190</v>
      </c>
      <c r="F67" s="230"/>
      <c r="G67" s="360"/>
      <c r="H67" s="230"/>
      <c r="I67" s="360"/>
      <c r="J67" s="230"/>
      <c r="K67" s="360"/>
      <c r="L67" s="230"/>
      <c r="M67" s="360"/>
      <c r="N67" s="230"/>
      <c r="O67" s="360"/>
      <c r="P67" s="230"/>
      <c r="Q67" s="360"/>
      <c r="R67" s="230"/>
      <c r="S67" s="360"/>
      <c r="T67" s="230"/>
      <c r="U67" s="360"/>
      <c r="V67" s="230"/>
      <c r="W67" s="360"/>
      <c r="X67" s="230"/>
      <c r="Y67" s="360"/>
      <c r="Z67" s="230"/>
      <c r="AA67" s="360"/>
      <c r="AB67" s="230"/>
      <c r="AC67" s="360"/>
      <c r="AD67" s="230"/>
      <c r="AE67" s="360"/>
      <c r="AF67" s="230"/>
    </row>
    <row r="68" spans="1:32" ht="14.25" customHeight="1">
      <c r="A68" s="52" t="s">
        <v>321</v>
      </c>
      <c r="B68" s="94" t="s">
        <v>291</v>
      </c>
      <c r="C68" s="361">
        <v>310</v>
      </c>
      <c r="D68" s="70"/>
      <c r="E68" s="479">
        <v>310</v>
      </c>
      <c r="F68" s="70"/>
      <c r="G68" s="361"/>
      <c r="H68" s="70"/>
      <c r="I68" s="361"/>
      <c r="J68" s="70"/>
      <c r="K68" s="361"/>
      <c r="L68" s="70"/>
      <c r="M68" s="361"/>
      <c r="N68" s="70"/>
      <c r="O68" s="361"/>
      <c r="P68" s="70"/>
      <c r="Q68" s="361"/>
      <c r="R68" s="70"/>
      <c r="S68" s="361"/>
      <c r="T68" s="70"/>
      <c r="U68" s="361"/>
      <c r="V68" s="70"/>
      <c r="W68" s="361"/>
      <c r="X68" s="70"/>
      <c r="Y68" s="361"/>
      <c r="Z68" s="70"/>
      <c r="AA68" s="361"/>
      <c r="AB68" s="70"/>
      <c r="AC68" s="361"/>
      <c r="AD68" s="70"/>
      <c r="AE68" s="361"/>
      <c r="AF68" s="70"/>
    </row>
    <row r="69" spans="1:32" ht="14.25" customHeight="1" thickBot="1">
      <c r="A69" s="216" t="s">
        <v>289</v>
      </c>
      <c r="B69" s="97" t="str">
        <f>IF(Metric,"tonne","ton")</f>
        <v>tonne</v>
      </c>
      <c r="C69" s="363">
        <v>170</v>
      </c>
      <c r="D69" s="217"/>
      <c r="E69" s="481">
        <v>135</v>
      </c>
      <c r="F69" s="217"/>
      <c r="G69" s="363"/>
      <c r="H69" s="217"/>
      <c r="I69" s="363"/>
      <c r="J69" s="217"/>
      <c r="K69" s="363"/>
      <c r="L69" s="217"/>
      <c r="M69" s="363"/>
      <c r="N69" s="217"/>
      <c r="O69" s="363"/>
      <c r="P69" s="217"/>
      <c r="Q69" s="363"/>
      <c r="R69" s="217"/>
      <c r="S69" s="363"/>
      <c r="T69" s="217"/>
      <c r="U69" s="363"/>
      <c r="V69" s="217"/>
      <c r="W69" s="363"/>
      <c r="X69" s="217"/>
      <c r="Y69" s="363"/>
      <c r="Z69" s="217"/>
      <c r="AA69" s="363"/>
      <c r="AB69" s="217"/>
      <c r="AC69" s="363"/>
      <c r="AD69" s="217"/>
      <c r="AE69" s="363"/>
      <c r="AF69" s="217"/>
    </row>
    <row r="70" spans="1:32">
      <c r="A70" s="100"/>
      <c r="B70" s="38"/>
      <c r="C70" s="100"/>
      <c r="D70" s="38"/>
      <c r="E70" s="100"/>
      <c r="F70" s="38"/>
      <c r="G70" s="100"/>
      <c r="H70" s="38"/>
      <c r="I70" s="100"/>
      <c r="J70" s="38"/>
      <c r="K70" s="100"/>
      <c r="L70" s="38"/>
      <c r="M70" s="100"/>
      <c r="N70" s="38"/>
      <c r="O70" s="100"/>
      <c r="P70" s="38"/>
      <c r="Q70" s="100"/>
      <c r="R70" s="38"/>
      <c r="S70" s="100"/>
      <c r="T70" s="38"/>
      <c r="U70" s="100"/>
      <c r="V70" s="38"/>
      <c r="W70" s="100"/>
      <c r="X70" s="38"/>
      <c r="Y70" s="100"/>
      <c r="Z70" s="38"/>
      <c r="AA70" s="100"/>
      <c r="AB70" s="38"/>
      <c r="AC70" s="100"/>
      <c r="AD70" s="38"/>
      <c r="AE70" s="100"/>
      <c r="AF70" s="38"/>
    </row>
    <row r="71" spans="1:32" ht="15.75" thickBot="1">
      <c r="A71" s="125" t="s">
        <v>79</v>
      </c>
      <c r="B71" s="126"/>
      <c r="C71" s="179"/>
      <c r="D71" s="180"/>
      <c r="E71" s="179"/>
      <c r="F71" s="180"/>
      <c r="G71" s="179"/>
      <c r="H71" s="180"/>
      <c r="I71" s="179"/>
      <c r="J71" s="180"/>
      <c r="K71" s="179"/>
      <c r="L71" s="180"/>
      <c r="M71" s="179"/>
      <c r="N71" s="180"/>
      <c r="O71" s="179"/>
      <c r="P71" s="180"/>
      <c r="Q71" s="179"/>
      <c r="R71" s="180"/>
      <c r="S71" s="179"/>
      <c r="T71" s="180"/>
      <c r="U71" s="179"/>
      <c r="V71" s="180"/>
      <c r="W71" s="179"/>
      <c r="X71" s="180"/>
      <c r="Y71" s="179"/>
      <c r="Z71" s="180"/>
      <c r="AA71" s="179"/>
      <c r="AB71" s="180"/>
      <c r="AC71" s="179"/>
      <c r="AD71" s="180"/>
      <c r="AE71" s="179"/>
      <c r="AF71" s="180"/>
    </row>
    <row r="72" spans="1:32" ht="25.5" customHeight="1">
      <c r="A72" s="238"/>
      <c r="B72" s="239" t="s">
        <v>299</v>
      </c>
      <c r="C72" s="639" t="s">
        <v>435</v>
      </c>
      <c r="D72" s="640"/>
      <c r="E72" s="639" t="s">
        <v>436</v>
      </c>
      <c r="F72" s="640"/>
      <c r="G72" s="639"/>
      <c r="H72" s="640"/>
      <c r="I72" s="639"/>
      <c r="J72" s="640"/>
      <c r="K72" s="639"/>
      <c r="L72" s="640"/>
      <c r="M72" s="641"/>
      <c r="N72" s="642"/>
      <c r="O72" s="641"/>
      <c r="P72" s="642"/>
      <c r="Q72" s="641"/>
      <c r="R72" s="642"/>
      <c r="S72" s="641"/>
      <c r="T72" s="642"/>
      <c r="U72" s="641"/>
      <c r="V72" s="642"/>
      <c r="W72" s="641"/>
      <c r="X72" s="642"/>
      <c r="Y72" s="641"/>
      <c r="Z72" s="642"/>
      <c r="AA72" s="641"/>
      <c r="AB72" s="642"/>
      <c r="AC72" s="641"/>
      <c r="AD72" s="642"/>
      <c r="AE72" s="641"/>
      <c r="AF72" s="642"/>
    </row>
    <row r="73" spans="1:32" ht="25.5" customHeight="1" thickBot="1">
      <c r="A73" s="238"/>
      <c r="B73" s="239" t="s">
        <v>300</v>
      </c>
      <c r="C73" s="635" t="s">
        <v>437</v>
      </c>
      <c r="D73" s="636"/>
      <c r="E73" s="635" t="s">
        <v>437</v>
      </c>
      <c r="F73" s="636"/>
      <c r="G73" s="635"/>
      <c r="H73" s="636"/>
      <c r="I73" s="635"/>
      <c r="J73" s="636"/>
      <c r="K73" s="635"/>
      <c r="L73" s="636"/>
      <c r="M73" s="637"/>
      <c r="N73" s="638"/>
      <c r="O73" s="637"/>
      <c r="P73" s="638"/>
      <c r="Q73" s="637"/>
      <c r="R73" s="638"/>
      <c r="S73" s="637"/>
      <c r="T73" s="638"/>
      <c r="U73" s="637"/>
      <c r="V73" s="638"/>
      <c r="W73" s="637"/>
      <c r="X73" s="638"/>
      <c r="Y73" s="637"/>
      <c r="Z73" s="638"/>
      <c r="AA73" s="637"/>
      <c r="AB73" s="638"/>
      <c r="AC73" s="637"/>
      <c r="AD73" s="638"/>
      <c r="AE73" s="637"/>
      <c r="AF73" s="638"/>
    </row>
    <row r="74" spans="1:32" ht="16.5" customHeight="1" thickBot="1">
      <c r="A74" s="124" t="s">
        <v>295</v>
      </c>
      <c r="B74" s="44"/>
      <c r="C74" s="43"/>
      <c r="D74" s="45"/>
      <c r="E74" s="43"/>
      <c r="F74" s="45"/>
      <c r="G74" s="43"/>
      <c r="H74" s="45"/>
      <c r="I74" s="43"/>
      <c r="J74" s="45"/>
      <c r="K74" s="43"/>
      <c r="L74" s="45"/>
      <c r="M74" s="43"/>
      <c r="N74" s="45"/>
      <c r="O74" s="43"/>
      <c r="P74" s="45"/>
      <c r="Q74" s="43"/>
      <c r="R74" s="45"/>
      <c r="S74" s="43"/>
      <c r="T74" s="45"/>
      <c r="U74" s="43"/>
      <c r="V74" s="45"/>
      <c r="W74" s="43"/>
      <c r="X74" s="45"/>
      <c r="Y74" s="43"/>
      <c r="Z74" s="45"/>
      <c r="AA74" s="43"/>
      <c r="AB74" s="45"/>
      <c r="AC74" s="43"/>
      <c r="AD74" s="45"/>
      <c r="AE74" s="43"/>
      <c r="AF74" s="45"/>
    </row>
    <row r="75" spans="1:32" ht="14.25" customHeight="1">
      <c r="A75" s="107" t="s">
        <v>292</v>
      </c>
      <c r="B75" s="128" t="str">
        <f>IF(Metric,"m3","C.Y")</f>
        <v>m3</v>
      </c>
      <c r="C75" s="360">
        <v>45</v>
      </c>
      <c r="D75" s="230"/>
      <c r="E75" s="475">
        <v>40</v>
      </c>
      <c r="F75" s="230"/>
      <c r="G75" s="360"/>
      <c r="H75" s="230"/>
      <c r="I75" s="360"/>
      <c r="J75" s="230"/>
      <c r="K75" s="360"/>
      <c r="L75" s="230"/>
      <c r="M75" s="360"/>
      <c r="N75" s="230"/>
      <c r="O75" s="360"/>
      <c r="P75" s="230"/>
      <c r="Q75" s="360"/>
      <c r="R75" s="230"/>
      <c r="S75" s="360"/>
      <c r="T75" s="230"/>
      <c r="U75" s="360"/>
      <c r="V75" s="230"/>
      <c r="W75" s="360"/>
      <c r="X75" s="230"/>
      <c r="Y75" s="360"/>
      <c r="Z75" s="230"/>
      <c r="AA75" s="360"/>
      <c r="AB75" s="230"/>
      <c r="AC75" s="360"/>
      <c r="AD75" s="230"/>
      <c r="AE75" s="360"/>
      <c r="AF75" s="230"/>
    </row>
    <row r="76" spans="1:32" ht="14.25" customHeight="1" thickBot="1">
      <c r="A76" s="216" t="s">
        <v>296</v>
      </c>
      <c r="B76" s="97" t="str">
        <f>IF(Metric,"m3","C.Y")</f>
        <v>m3</v>
      </c>
      <c r="C76" s="363">
        <v>160</v>
      </c>
      <c r="D76" s="217"/>
      <c r="E76" s="481">
        <v>200</v>
      </c>
      <c r="F76" s="217"/>
      <c r="G76" s="363"/>
      <c r="H76" s="217"/>
      <c r="I76" s="363"/>
      <c r="J76" s="217"/>
      <c r="K76" s="363"/>
      <c r="L76" s="217"/>
      <c r="M76" s="363"/>
      <c r="N76" s="217"/>
      <c r="O76" s="363"/>
      <c r="P76" s="217"/>
      <c r="Q76" s="363"/>
      <c r="R76" s="217"/>
      <c r="S76" s="363"/>
      <c r="T76" s="217"/>
      <c r="U76" s="363"/>
      <c r="V76" s="217"/>
      <c r="W76" s="363"/>
      <c r="X76" s="217"/>
      <c r="Y76" s="363"/>
      <c r="Z76" s="217"/>
      <c r="AA76" s="363"/>
      <c r="AB76" s="217"/>
      <c r="AC76" s="363"/>
      <c r="AD76" s="217"/>
      <c r="AE76" s="363"/>
      <c r="AF76" s="217"/>
    </row>
    <row r="77" spans="1:32">
      <c r="A77" s="100"/>
      <c r="B77" s="38"/>
      <c r="C77" s="100"/>
      <c r="D77" s="38"/>
      <c r="E77" s="100"/>
      <c r="F77" s="38"/>
      <c r="G77" s="100"/>
      <c r="H77" s="38"/>
      <c r="I77" s="100"/>
      <c r="J77" s="38"/>
      <c r="K77" s="100"/>
      <c r="L77" s="38"/>
      <c r="M77" s="100"/>
      <c r="N77" s="38"/>
      <c r="O77" s="100"/>
      <c r="P77" s="38"/>
      <c r="Q77" s="100"/>
      <c r="R77" s="38"/>
      <c r="S77" s="100"/>
      <c r="T77" s="38"/>
      <c r="U77" s="100"/>
      <c r="V77" s="38"/>
      <c r="W77" s="100"/>
      <c r="X77" s="38"/>
      <c r="Y77" s="100"/>
      <c r="Z77" s="38"/>
      <c r="AA77" s="100"/>
      <c r="AB77" s="38"/>
      <c r="AC77" s="100"/>
      <c r="AD77" s="38"/>
      <c r="AE77" s="100"/>
      <c r="AF77" s="38"/>
    </row>
    <row r="78" spans="1:32" ht="15.75" thickBot="1">
      <c r="A78" s="125" t="s">
        <v>79</v>
      </c>
      <c r="B78" s="126"/>
      <c r="C78" s="179"/>
      <c r="D78" s="180"/>
      <c r="E78" s="179"/>
      <c r="F78" s="180"/>
      <c r="G78" s="179"/>
      <c r="H78" s="180"/>
      <c r="I78" s="179"/>
      <c r="J78" s="180"/>
      <c r="K78" s="179"/>
      <c r="L78" s="180"/>
      <c r="M78" s="179"/>
      <c r="N78" s="180"/>
      <c r="O78" s="179"/>
      <c r="P78" s="180"/>
      <c r="Q78" s="179"/>
      <c r="R78" s="180"/>
      <c r="S78" s="179"/>
      <c r="T78" s="180"/>
      <c r="U78" s="179"/>
      <c r="V78" s="180"/>
      <c r="W78" s="179"/>
      <c r="X78" s="180"/>
      <c r="Y78" s="179"/>
      <c r="Z78" s="180"/>
      <c r="AA78" s="179"/>
      <c r="AB78" s="180"/>
      <c r="AC78" s="179"/>
      <c r="AD78" s="180"/>
      <c r="AE78" s="179"/>
      <c r="AF78" s="180"/>
    </row>
    <row r="79" spans="1:32" ht="25.5" customHeight="1">
      <c r="A79" s="238"/>
      <c r="B79" s="239" t="s">
        <v>293</v>
      </c>
      <c r="C79" s="639" t="s">
        <v>436</v>
      </c>
      <c r="D79" s="640"/>
      <c r="E79" s="639" t="s">
        <v>436</v>
      </c>
      <c r="F79" s="640"/>
      <c r="G79" s="639"/>
      <c r="H79" s="640"/>
      <c r="I79" s="639"/>
      <c r="J79" s="640"/>
      <c r="K79" s="639"/>
      <c r="L79" s="640"/>
      <c r="M79" s="639"/>
      <c r="N79" s="640"/>
      <c r="O79" s="639"/>
      <c r="P79" s="640"/>
      <c r="Q79" s="639"/>
      <c r="R79" s="640"/>
      <c r="S79" s="639"/>
      <c r="T79" s="640"/>
      <c r="U79" s="639"/>
      <c r="V79" s="640"/>
      <c r="W79" s="639"/>
      <c r="X79" s="640"/>
      <c r="Y79" s="639"/>
      <c r="Z79" s="640"/>
      <c r="AA79" s="639"/>
      <c r="AB79" s="640"/>
      <c r="AC79" s="639"/>
      <c r="AD79" s="640"/>
      <c r="AE79" s="639"/>
      <c r="AF79" s="640"/>
    </row>
    <row r="80" spans="1:32" ht="25.5" customHeight="1" thickBot="1">
      <c r="A80" s="238"/>
      <c r="B80" s="239" t="s">
        <v>294</v>
      </c>
      <c r="C80" s="635" t="s">
        <v>437</v>
      </c>
      <c r="D80" s="636"/>
      <c r="E80" s="635" t="s">
        <v>437</v>
      </c>
      <c r="F80" s="636"/>
      <c r="G80" s="635"/>
      <c r="H80" s="636"/>
      <c r="I80" s="635"/>
      <c r="J80" s="636"/>
      <c r="K80" s="637"/>
      <c r="L80" s="638"/>
      <c r="M80" s="637"/>
      <c r="N80" s="638"/>
      <c r="O80" s="637"/>
      <c r="P80" s="638"/>
      <c r="Q80" s="637"/>
      <c r="R80" s="638"/>
      <c r="S80" s="637"/>
      <c r="T80" s="638"/>
      <c r="U80" s="637"/>
      <c r="V80" s="638"/>
      <c r="W80" s="637"/>
      <c r="X80" s="638"/>
      <c r="Y80" s="637"/>
      <c r="Z80" s="638"/>
      <c r="AA80" s="637"/>
      <c r="AB80" s="638"/>
      <c r="AC80" s="637"/>
      <c r="AD80" s="638"/>
      <c r="AE80" s="637"/>
      <c r="AF80" s="638"/>
    </row>
    <row r="81" spans="1:32" ht="26.25" customHeight="1" thickBot="1">
      <c r="A81" s="112" t="s">
        <v>37</v>
      </c>
      <c r="B81" s="114"/>
      <c r="C81" s="113"/>
      <c r="D81" s="114"/>
      <c r="E81" s="113"/>
      <c r="F81" s="114"/>
      <c r="G81" s="113"/>
      <c r="H81" s="114"/>
      <c r="I81" s="113"/>
      <c r="J81" s="114"/>
      <c r="K81" s="113"/>
      <c r="L81" s="114"/>
      <c r="M81" s="113"/>
      <c r="N81" s="114"/>
      <c r="O81" s="113"/>
      <c r="P81" s="114"/>
      <c r="Q81" s="113"/>
      <c r="R81" s="114"/>
      <c r="S81" s="113"/>
      <c r="T81" s="114"/>
      <c r="U81" s="113"/>
      <c r="V81" s="114"/>
      <c r="W81" s="113"/>
      <c r="X81" s="114"/>
      <c r="Y81" s="113"/>
      <c r="Z81" s="114"/>
      <c r="AA81" s="113"/>
      <c r="AB81" s="114"/>
      <c r="AC81" s="113"/>
      <c r="AD81" s="114"/>
      <c r="AE81" s="113"/>
      <c r="AF81" s="114"/>
    </row>
    <row r="82" spans="1:32" s="62" customFormat="1" ht="13.5" thickBot="1">
      <c r="A82" s="127" t="s">
        <v>96</v>
      </c>
      <c r="B82" s="134" t="s">
        <v>87</v>
      </c>
      <c r="C82" s="137" t="s">
        <v>110</v>
      </c>
      <c r="D82" s="138" t="s">
        <v>111</v>
      </c>
      <c r="E82" s="137" t="s">
        <v>110</v>
      </c>
      <c r="F82" s="138" t="s">
        <v>111</v>
      </c>
      <c r="G82" s="137" t="s">
        <v>110</v>
      </c>
      <c r="H82" s="138" t="s">
        <v>111</v>
      </c>
      <c r="I82" s="137" t="s">
        <v>110</v>
      </c>
      <c r="J82" s="138" t="s">
        <v>111</v>
      </c>
      <c r="K82" s="137" t="s">
        <v>110</v>
      </c>
      <c r="L82" s="138" t="s">
        <v>111</v>
      </c>
      <c r="M82" s="137" t="s">
        <v>110</v>
      </c>
      <c r="N82" s="138" t="s">
        <v>111</v>
      </c>
      <c r="O82" s="137" t="s">
        <v>110</v>
      </c>
      <c r="P82" s="138" t="s">
        <v>111</v>
      </c>
      <c r="Q82" s="137" t="s">
        <v>110</v>
      </c>
      <c r="R82" s="138" t="s">
        <v>111</v>
      </c>
      <c r="S82" s="137" t="s">
        <v>110</v>
      </c>
      <c r="T82" s="138" t="s">
        <v>111</v>
      </c>
      <c r="U82" s="137" t="s">
        <v>110</v>
      </c>
      <c r="V82" s="138" t="s">
        <v>111</v>
      </c>
      <c r="W82" s="137" t="s">
        <v>110</v>
      </c>
      <c r="X82" s="138" t="s">
        <v>111</v>
      </c>
      <c r="Y82" s="137" t="s">
        <v>110</v>
      </c>
      <c r="Z82" s="138" t="s">
        <v>111</v>
      </c>
      <c r="AA82" s="137" t="s">
        <v>110</v>
      </c>
      <c r="AB82" s="138" t="s">
        <v>111</v>
      </c>
      <c r="AC82" s="137" t="s">
        <v>110</v>
      </c>
      <c r="AD82" s="138" t="s">
        <v>111</v>
      </c>
      <c r="AE82" s="137" t="s">
        <v>110</v>
      </c>
      <c r="AF82" s="138" t="s">
        <v>111</v>
      </c>
    </row>
    <row r="83" spans="1:32" ht="16.5" thickBot="1">
      <c r="A83" s="43" t="s">
        <v>121</v>
      </c>
      <c r="B83" s="44"/>
      <c r="C83" s="43"/>
      <c r="D83" s="45"/>
      <c r="E83" s="43"/>
      <c r="F83" s="45"/>
      <c r="G83" s="43"/>
      <c r="H83" s="45"/>
      <c r="I83" s="43"/>
      <c r="J83" s="45"/>
      <c r="K83" s="43"/>
      <c r="L83" s="45"/>
      <c r="M83" s="43"/>
      <c r="N83" s="45"/>
      <c r="O83" s="43"/>
      <c r="P83" s="45"/>
      <c r="Q83" s="43"/>
      <c r="R83" s="45"/>
      <c r="S83" s="43"/>
      <c r="T83" s="45"/>
      <c r="U83" s="43"/>
      <c r="V83" s="45"/>
      <c r="W83" s="43"/>
      <c r="X83" s="45"/>
      <c r="Y83" s="43"/>
      <c r="Z83" s="45"/>
      <c r="AA83" s="43"/>
      <c r="AB83" s="45"/>
      <c r="AC83" s="43"/>
      <c r="AD83" s="45"/>
      <c r="AE83" s="43"/>
      <c r="AF83" s="45"/>
    </row>
    <row r="84" spans="1:32" ht="14.25" customHeight="1">
      <c r="A84" s="131" t="str">
        <f>IF(Metric,"Grade walls - 400 mm thick, 2.5 m high","Grade walls - 15 in thick, 8 ft high")</f>
        <v>Grade walls - 400 mm thick, 2.5 m high</v>
      </c>
      <c r="B84" s="128" t="str">
        <f>IF(Metric,"m3","C.Y")</f>
        <v>m3</v>
      </c>
      <c r="C84" s="360">
        <v>2105.0041017227236</v>
      </c>
      <c r="D84" s="364"/>
      <c r="E84" s="475">
        <v>2050.5159896283499</v>
      </c>
      <c r="F84" s="482"/>
      <c r="G84" s="360"/>
      <c r="H84" s="364"/>
      <c r="I84" s="360"/>
      <c r="J84" s="364"/>
      <c r="K84" s="360"/>
      <c r="L84" s="364"/>
      <c r="M84" s="360"/>
      <c r="N84" s="364"/>
      <c r="O84" s="360"/>
      <c r="P84" s="364"/>
      <c r="Q84" s="360"/>
      <c r="R84" s="364"/>
      <c r="S84" s="360"/>
      <c r="T84" s="364"/>
      <c r="U84" s="360"/>
      <c r="V84" s="364"/>
      <c r="W84" s="360"/>
      <c r="X84" s="364"/>
      <c r="Y84" s="360"/>
      <c r="Z84" s="364"/>
      <c r="AA84" s="360"/>
      <c r="AB84" s="364"/>
      <c r="AC84" s="360"/>
      <c r="AD84" s="364"/>
      <c r="AE84" s="360"/>
      <c r="AF84" s="364"/>
    </row>
    <row r="85" spans="1:32" ht="14.25" customHeight="1">
      <c r="A85" s="131" t="str">
        <f>IF(Metric,"Grade walls - 400 mm thick, 4.5 m high","Grade walls - 15 in thick, 12 ft high")</f>
        <v>Grade walls - 400 mm thick, 4.5 m high</v>
      </c>
      <c r="B85" s="128" t="str">
        <f>IF(Metric,"m3","C.Y")</f>
        <v>m3</v>
      </c>
      <c r="C85" s="361">
        <v>2420.7547169811323</v>
      </c>
      <c r="D85" s="365"/>
      <c r="E85" s="479">
        <v>2191.4433880726001</v>
      </c>
      <c r="F85" s="483"/>
      <c r="G85" s="361"/>
      <c r="H85" s="365"/>
      <c r="I85" s="361"/>
      <c r="J85" s="365"/>
      <c r="K85" s="361"/>
      <c r="L85" s="365"/>
      <c r="M85" s="361"/>
      <c r="N85" s="365"/>
      <c r="O85" s="361"/>
      <c r="P85" s="365"/>
      <c r="Q85" s="361"/>
      <c r="R85" s="365"/>
      <c r="S85" s="361"/>
      <c r="T85" s="365"/>
      <c r="U85" s="361"/>
      <c r="V85" s="365"/>
      <c r="W85" s="361"/>
      <c r="X85" s="365"/>
      <c r="Y85" s="361"/>
      <c r="Z85" s="365"/>
      <c r="AA85" s="361"/>
      <c r="AB85" s="365"/>
      <c r="AC85" s="361"/>
      <c r="AD85" s="365"/>
      <c r="AE85" s="361"/>
      <c r="AF85" s="365"/>
    </row>
    <row r="86" spans="1:32" ht="14.25" customHeight="1">
      <c r="A86" s="132" t="str">
        <f>CONCATENATE("Elevated conc, 1-way beam &amp; slab - " &amp; IF(Metric,"4.5m span","15ft span"))</f>
        <v>Elevated conc, 1-way beam &amp; slab - 4.5m span</v>
      </c>
      <c r="B86" s="128" t="str">
        <f>IF(Metric,"m3","C.Y")</f>
        <v>m3</v>
      </c>
      <c r="C86" s="361">
        <v>3157.5061525840902</v>
      </c>
      <c r="D86" s="365"/>
      <c r="E86" s="479">
        <v>2919.27398444252</v>
      </c>
      <c r="F86" s="483"/>
      <c r="G86" s="361"/>
      <c r="H86" s="365"/>
      <c r="I86" s="361"/>
      <c r="J86" s="365"/>
      <c r="K86" s="361"/>
      <c r="L86" s="365"/>
      <c r="M86" s="361"/>
      <c r="N86" s="365"/>
      <c r="O86" s="361"/>
      <c r="P86" s="365"/>
      <c r="Q86" s="361"/>
      <c r="R86" s="365"/>
      <c r="S86" s="361"/>
      <c r="T86" s="365"/>
      <c r="U86" s="361"/>
      <c r="V86" s="365"/>
      <c r="W86" s="361"/>
      <c r="X86" s="365"/>
      <c r="Y86" s="361"/>
      <c r="Z86" s="365"/>
      <c r="AA86" s="361"/>
      <c r="AB86" s="365"/>
      <c r="AC86" s="361"/>
      <c r="AD86" s="365"/>
      <c r="AE86" s="361"/>
      <c r="AF86" s="365"/>
    </row>
    <row r="87" spans="1:32" ht="14.25" customHeight="1" thickBot="1">
      <c r="A87" s="132" t="str">
        <f>CONCATENATE("Elevated conc, 1-way beam &amp; slab - " &amp; IF(Metric,"7.5m span","25ft span"))</f>
        <v>Elevated conc, 1-way beam &amp; slab - 7.5m span</v>
      </c>
      <c r="B87" s="94" t="str">
        <f>IF(Metric,"m3","C.Y")</f>
        <v>m3</v>
      </c>
      <c r="C87" s="363">
        <v>3683.7571780147664</v>
      </c>
      <c r="D87" s="366"/>
      <c r="E87" s="481">
        <v>3439.1529818496101</v>
      </c>
      <c r="F87" s="484"/>
      <c r="G87" s="363"/>
      <c r="H87" s="366"/>
      <c r="I87" s="363"/>
      <c r="J87" s="366"/>
      <c r="K87" s="363"/>
      <c r="L87" s="366"/>
      <c r="M87" s="363"/>
      <c r="N87" s="366"/>
      <c r="O87" s="363"/>
      <c r="P87" s="366"/>
      <c r="Q87" s="363"/>
      <c r="R87" s="366"/>
      <c r="S87" s="363"/>
      <c r="T87" s="366"/>
      <c r="U87" s="363"/>
      <c r="V87" s="366"/>
      <c r="W87" s="363"/>
      <c r="X87" s="366"/>
      <c r="Y87" s="363"/>
      <c r="Z87" s="366"/>
      <c r="AA87" s="363"/>
      <c r="AB87" s="366"/>
      <c r="AC87" s="363"/>
      <c r="AD87" s="366"/>
      <c r="AE87" s="363"/>
      <c r="AF87" s="366"/>
    </row>
    <row r="88" spans="1:32" ht="13.5" thickBot="1">
      <c r="A88" s="127" t="s">
        <v>96</v>
      </c>
      <c r="B88" s="134" t="s">
        <v>87</v>
      </c>
      <c r="C88" s="137" t="s">
        <v>110</v>
      </c>
      <c r="D88" s="138"/>
      <c r="E88" s="137" t="s">
        <v>110</v>
      </c>
      <c r="F88" s="138"/>
      <c r="G88" s="137" t="s">
        <v>110</v>
      </c>
      <c r="H88" s="138"/>
      <c r="I88" s="137" t="s">
        <v>110</v>
      </c>
      <c r="J88" s="138"/>
      <c r="K88" s="137" t="s">
        <v>110</v>
      </c>
      <c r="L88" s="138"/>
      <c r="M88" s="137" t="s">
        <v>110</v>
      </c>
      <c r="N88" s="138"/>
      <c r="O88" s="137" t="s">
        <v>110</v>
      </c>
      <c r="P88" s="138"/>
      <c r="Q88" s="137" t="s">
        <v>110</v>
      </c>
      <c r="R88" s="138"/>
      <c r="S88" s="137" t="s">
        <v>110</v>
      </c>
      <c r="T88" s="138"/>
      <c r="U88" s="137" t="s">
        <v>110</v>
      </c>
      <c r="V88" s="138"/>
      <c r="W88" s="137" t="s">
        <v>110</v>
      </c>
      <c r="X88" s="138"/>
      <c r="Y88" s="137" t="s">
        <v>110</v>
      </c>
      <c r="Z88" s="138"/>
      <c r="AA88" s="137" t="s">
        <v>110</v>
      </c>
      <c r="AB88" s="138"/>
      <c r="AC88" s="137" t="s">
        <v>110</v>
      </c>
      <c r="AD88" s="138"/>
      <c r="AE88" s="137" t="s">
        <v>110</v>
      </c>
      <c r="AF88" s="138"/>
    </row>
    <row r="89" spans="1:32" ht="16.5" thickBot="1">
      <c r="A89" s="63" t="s">
        <v>26</v>
      </c>
      <c r="B89" s="44"/>
      <c r="C89" s="43"/>
      <c r="D89" s="45"/>
      <c r="E89" s="43"/>
      <c r="F89" s="45"/>
      <c r="G89" s="43"/>
      <c r="H89" s="45"/>
      <c r="I89" s="43"/>
      <c r="J89" s="45"/>
      <c r="K89" s="43"/>
      <c r="L89" s="45"/>
      <c r="M89" s="43"/>
      <c r="N89" s="45"/>
      <c r="O89" s="43"/>
      <c r="P89" s="45"/>
      <c r="Q89" s="43"/>
      <c r="R89" s="45"/>
      <c r="S89" s="43"/>
      <c r="T89" s="45"/>
      <c r="U89" s="43"/>
      <c r="V89" s="45"/>
      <c r="W89" s="43"/>
      <c r="X89" s="45"/>
      <c r="Y89" s="43"/>
      <c r="Z89" s="45"/>
      <c r="AA89" s="43"/>
      <c r="AB89" s="45"/>
      <c r="AC89" s="43"/>
      <c r="AD89" s="45"/>
      <c r="AE89" s="43"/>
      <c r="AF89" s="45"/>
    </row>
    <row r="90" spans="1:32" ht="14.25" customHeight="1">
      <c r="A90" s="131" t="s">
        <v>32</v>
      </c>
      <c r="B90" s="129" t="s">
        <v>131</v>
      </c>
      <c r="C90" s="360">
        <v>6315.0123051681712</v>
      </c>
      <c r="D90" s="586"/>
      <c r="E90" s="475">
        <v>6038.5479688850501</v>
      </c>
      <c r="F90" s="586"/>
      <c r="G90" s="360"/>
      <c r="H90" s="586"/>
      <c r="I90" s="360"/>
      <c r="J90" s="586"/>
      <c r="K90" s="360"/>
      <c r="L90" s="586"/>
      <c r="M90" s="360"/>
      <c r="N90" s="586"/>
      <c r="O90" s="360"/>
      <c r="P90" s="586"/>
      <c r="Q90" s="360"/>
      <c r="R90" s="586"/>
      <c r="S90" s="360"/>
      <c r="T90" s="586"/>
      <c r="U90" s="360"/>
      <c r="V90" s="586"/>
      <c r="W90" s="360"/>
      <c r="X90" s="586"/>
      <c r="Y90" s="360"/>
      <c r="Z90" s="586"/>
      <c r="AA90" s="360"/>
      <c r="AB90" s="586"/>
      <c r="AC90" s="360"/>
      <c r="AD90" s="586"/>
      <c r="AE90" s="360"/>
      <c r="AF90" s="586"/>
    </row>
    <row r="91" spans="1:32" ht="14.25" customHeight="1">
      <c r="A91" s="131" t="s">
        <v>243</v>
      </c>
      <c r="B91" s="129" t="str">
        <f>IF(Metric,"m3","C.Y")</f>
        <v>m3</v>
      </c>
      <c r="C91" s="361">
        <v>2105.0041017227236</v>
      </c>
      <c r="D91" s="586"/>
      <c r="E91" s="479">
        <v>2049.5159896283499</v>
      </c>
      <c r="F91" s="586"/>
      <c r="G91" s="361"/>
      <c r="H91" s="586"/>
      <c r="I91" s="361"/>
      <c r="J91" s="586"/>
      <c r="K91" s="361"/>
      <c r="L91" s="586"/>
      <c r="M91" s="361"/>
      <c r="N91" s="586"/>
      <c r="O91" s="361"/>
      <c r="P91" s="586"/>
      <c r="Q91" s="361"/>
      <c r="R91" s="586"/>
      <c r="S91" s="361"/>
      <c r="T91" s="586"/>
      <c r="U91" s="361"/>
      <c r="V91" s="586"/>
      <c r="W91" s="361"/>
      <c r="X91" s="586"/>
      <c r="Y91" s="361"/>
      <c r="Z91" s="586"/>
      <c r="AA91" s="361"/>
      <c r="AB91" s="586"/>
      <c r="AC91" s="361"/>
      <c r="AD91" s="586"/>
      <c r="AE91" s="361"/>
      <c r="AF91" s="586"/>
    </row>
    <row r="92" spans="1:32" ht="14.25" customHeight="1">
      <c r="A92" s="131" t="s">
        <v>245</v>
      </c>
      <c r="B92" s="129" t="str">
        <f>IF(Metric,"m3","C.Y")</f>
        <v>m3</v>
      </c>
      <c r="C92" s="361">
        <v>526.2510254306809</v>
      </c>
      <c r="D92" s="586"/>
      <c r="E92" s="479">
        <v>503.87899740708701</v>
      </c>
      <c r="F92" s="586"/>
      <c r="G92" s="361"/>
      <c r="H92" s="586"/>
      <c r="I92" s="361"/>
      <c r="J92" s="586"/>
      <c r="K92" s="361"/>
      <c r="L92" s="586"/>
      <c r="M92" s="361"/>
      <c r="N92" s="586"/>
      <c r="O92" s="361"/>
      <c r="P92" s="586"/>
      <c r="Q92" s="361"/>
      <c r="R92" s="586"/>
      <c r="S92" s="361"/>
      <c r="T92" s="586"/>
      <c r="U92" s="361"/>
      <c r="V92" s="586"/>
      <c r="W92" s="361"/>
      <c r="X92" s="586"/>
      <c r="Y92" s="361"/>
      <c r="Z92" s="586"/>
      <c r="AA92" s="361"/>
      <c r="AB92" s="586"/>
      <c r="AC92" s="361"/>
      <c r="AD92" s="586"/>
      <c r="AE92" s="361"/>
      <c r="AF92" s="586"/>
    </row>
    <row r="93" spans="1:32" ht="14.25" customHeight="1" thickBot="1">
      <c r="A93" s="131" t="s">
        <v>246</v>
      </c>
      <c r="B93" s="129" t="str">
        <f>IF(Metric,"m3","C.Y")</f>
        <v>m3</v>
      </c>
      <c r="C93" s="361">
        <v>315.75061525840857</v>
      </c>
      <c r="D93" s="585"/>
      <c r="E93" s="479">
        <v>281.92739844425199</v>
      </c>
      <c r="F93" s="585"/>
      <c r="G93" s="361"/>
      <c r="H93" s="585"/>
      <c r="I93" s="361"/>
      <c r="J93" s="585"/>
      <c r="K93" s="361"/>
      <c r="L93" s="585"/>
      <c r="M93" s="367"/>
      <c r="N93" s="585"/>
      <c r="O93" s="367"/>
      <c r="P93" s="585"/>
      <c r="Q93" s="367"/>
      <c r="R93" s="585"/>
      <c r="S93" s="367"/>
      <c r="T93" s="585"/>
      <c r="U93" s="367"/>
      <c r="V93" s="585"/>
      <c r="W93" s="367"/>
      <c r="X93" s="585"/>
      <c r="Y93" s="367"/>
      <c r="Z93" s="585"/>
      <c r="AA93" s="367"/>
      <c r="AB93" s="585"/>
      <c r="AC93" s="367"/>
      <c r="AD93" s="585"/>
      <c r="AE93" s="367"/>
      <c r="AF93" s="585"/>
    </row>
    <row r="94" spans="1:32" ht="15">
      <c r="A94" s="24"/>
      <c r="B94" s="25"/>
      <c r="C94" s="139"/>
      <c r="D94" s="61"/>
      <c r="E94" s="139"/>
      <c r="F94" s="61"/>
      <c r="G94" s="139"/>
      <c r="H94" s="61"/>
      <c r="I94" s="139"/>
      <c r="J94" s="61"/>
      <c r="K94" s="139"/>
      <c r="L94" s="61"/>
      <c r="M94" s="139"/>
      <c r="N94" s="61"/>
      <c r="O94" s="139"/>
      <c r="P94" s="61"/>
      <c r="Q94" s="139"/>
      <c r="R94" s="61"/>
      <c r="S94" s="139"/>
      <c r="T94" s="61"/>
      <c r="U94" s="139"/>
      <c r="V94" s="61"/>
      <c r="W94" s="139"/>
      <c r="X94" s="61"/>
      <c r="Y94" s="139"/>
      <c r="Z94" s="61"/>
      <c r="AA94" s="139"/>
      <c r="AB94" s="61"/>
      <c r="AC94" s="139"/>
      <c r="AD94" s="61"/>
      <c r="AE94" s="139"/>
      <c r="AF94" s="61"/>
    </row>
    <row r="95" spans="1:32" ht="15.75" thickBot="1">
      <c r="A95" s="125" t="s">
        <v>79</v>
      </c>
      <c r="B95" s="126"/>
      <c r="C95" s="179"/>
      <c r="D95" s="180"/>
      <c r="E95" s="179"/>
      <c r="F95" s="180"/>
      <c r="G95" s="179"/>
      <c r="H95" s="180"/>
      <c r="I95" s="179"/>
      <c r="J95" s="180"/>
      <c r="K95" s="179"/>
      <c r="L95" s="180"/>
      <c r="M95" s="179"/>
      <c r="N95" s="180"/>
      <c r="O95" s="179"/>
      <c r="P95" s="180"/>
      <c r="Q95" s="179"/>
      <c r="R95" s="180"/>
      <c r="S95" s="179"/>
      <c r="T95" s="180"/>
      <c r="U95" s="179"/>
      <c r="V95" s="180"/>
      <c r="W95" s="179"/>
      <c r="X95" s="180"/>
      <c r="Y95" s="179"/>
      <c r="Z95" s="180"/>
      <c r="AA95" s="179"/>
      <c r="AB95" s="180"/>
      <c r="AC95" s="179"/>
      <c r="AD95" s="180"/>
      <c r="AE95" s="179"/>
      <c r="AF95" s="180"/>
    </row>
    <row r="96" spans="1:32" ht="39.75" customHeight="1">
      <c r="A96" s="649" t="s">
        <v>200</v>
      </c>
      <c r="B96" s="650"/>
      <c r="C96" s="655" t="s">
        <v>438</v>
      </c>
      <c r="D96" s="656"/>
      <c r="E96" s="655"/>
      <c r="F96" s="656"/>
      <c r="G96" s="655"/>
      <c r="H96" s="656"/>
      <c r="I96" s="655"/>
      <c r="J96" s="656"/>
      <c r="K96" s="655"/>
      <c r="L96" s="656"/>
      <c r="M96" s="641"/>
      <c r="N96" s="642"/>
      <c r="O96" s="641"/>
      <c r="P96" s="642"/>
      <c r="Q96" s="641"/>
      <c r="R96" s="642"/>
      <c r="S96" s="641"/>
      <c r="T96" s="642"/>
      <c r="U96" s="641"/>
      <c r="V96" s="642"/>
      <c r="W96" s="641"/>
      <c r="X96" s="642"/>
      <c r="Y96" s="641"/>
      <c r="Z96" s="642"/>
      <c r="AA96" s="641"/>
      <c r="AB96" s="642"/>
      <c r="AC96" s="641"/>
      <c r="AD96" s="642"/>
      <c r="AE96" s="641"/>
      <c r="AF96" s="642"/>
    </row>
    <row r="97" spans="1:32" ht="39.75" customHeight="1" thickBot="1">
      <c r="A97" s="653" t="s">
        <v>201</v>
      </c>
      <c r="B97" s="654"/>
      <c r="C97" s="655"/>
      <c r="D97" s="656"/>
      <c r="E97" s="655"/>
      <c r="F97" s="656"/>
      <c r="G97" s="655"/>
      <c r="H97" s="656"/>
      <c r="I97" s="655"/>
      <c r="J97" s="656"/>
      <c r="K97" s="655"/>
      <c r="L97" s="656"/>
      <c r="M97" s="635"/>
      <c r="N97" s="636"/>
      <c r="O97" s="635"/>
      <c r="P97" s="636"/>
      <c r="Q97" s="635"/>
      <c r="R97" s="636"/>
      <c r="S97" s="635"/>
      <c r="T97" s="636"/>
      <c r="U97" s="635"/>
      <c r="V97" s="636"/>
      <c r="W97" s="635"/>
      <c r="X97" s="636"/>
      <c r="Y97" s="635"/>
      <c r="Z97" s="636"/>
      <c r="AA97" s="635"/>
      <c r="AB97" s="636"/>
      <c r="AC97" s="635"/>
      <c r="AD97" s="636"/>
      <c r="AE97" s="635"/>
      <c r="AF97" s="636"/>
    </row>
    <row r="98" spans="1:32" ht="26.25" customHeight="1" thickBot="1">
      <c r="A98" s="112" t="s">
        <v>38</v>
      </c>
      <c r="B98" s="114"/>
      <c r="C98" s="113"/>
      <c r="D98" s="114"/>
      <c r="E98" s="113"/>
      <c r="F98" s="114"/>
      <c r="G98" s="113"/>
      <c r="H98" s="114"/>
      <c r="I98" s="113"/>
      <c r="J98" s="114"/>
      <c r="K98" s="113"/>
      <c r="L98" s="114"/>
      <c r="M98" s="113"/>
      <c r="N98" s="114"/>
      <c r="O98" s="113"/>
      <c r="P98" s="114"/>
      <c r="Q98" s="113"/>
      <c r="R98" s="114"/>
      <c r="S98" s="113"/>
      <c r="T98" s="114"/>
      <c r="U98" s="113"/>
      <c r="V98" s="114"/>
      <c r="W98" s="113"/>
      <c r="X98" s="114"/>
      <c r="Y98" s="113"/>
      <c r="Z98" s="114"/>
      <c r="AA98" s="113"/>
      <c r="AB98" s="114"/>
      <c r="AC98" s="113"/>
      <c r="AD98" s="114"/>
      <c r="AE98" s="113"/>
      <c r="AF98" s="114"/>
    </row>
    <row r="99" spans="1:32" ht="13.5" thickBot="1">
      <c r="A99" s="127" t="s">
        <v>96</v>
      </c>
      <c r="B99" s="134" t="s">
        <v>87</v>
      </c>
      <c r="C99" s="137" t="s">
        <v>110</v>
      </c>
      <c r="D99" s="138" t="s">
        <v>111</v>
      </c>
      <c r="E99" s="137" t="s">
        <v>110</v>
      </c>
      <c r="F99" s="138" t="s">
        <v>111</v>
      </c>
      <c r="G99" s="137" t="s">
        <v>110</v>
      </c>
      <c r="H99" s="138" t="s">
        <v>111</v>
      </c>
      <c r="I99" s="137" t="s">
        <v>110</v>
      </c>
      <c r="J99" s="138" t="s">
        <v>111</v>
      </c>
      <c r="K99" s="137" t="s">
        <v>110</v>
      </c>
      <c r="L99" s="138" t="s">
        <v>111</v>
      </c>
      <c r="M99" s="137" t="s">
        <v>110</v>
      </c>
      <c r="N99" s="138" t="s">
        <v>111</v>
      </c>
      <c r="O99" s="137" t="s">
        <v>110</v>
      </c>
      <c r="P99" s="138" t="s">
        <v>111</v>
      </c>
      <c r="Q99" s="137" t="s">
        <v>110</v>
      </c>
      <c r="R99" s="138" t="s">
        <v>111</v>
      </c>
      <c r="S99" s="137" t="s">
        <v>110</v>
      </c>
      <c r="T99" s="138" t="s">
        <v>111</v>
      </c>
      <c r="U99" s="137" t="s">
        <v>110</v>
      </c>
      <c r="V99" s="138" t="s">
        <v>111</v>
      </c>
      <c r="W99" s="137" t="s">
        <v>110</v>
      </c>
      <c r="X99" s="138" t="s">
        <v>111</v>
      </c>
      <c r="Y99" s="137" t="s">
        <v>110</v>
      </c>
      <c r="Z99" s="138" t="s">
        <v>111</v>
      </c>
      <c r="AA99" s="137" t="s">
        <v>110</v>
      </c>
      <c r="AB99" s="138" t="s">
        <v>111</v>
      </c>
      <c r="AC99" s="137" t="s">
        <v>110</v>
      </c>
      <c r="AD99" s="138" t="s">
        <v>111</v>
      </c>
      <c r="AE99" s="137" t="s">
        <v>110</v>
      </c>
      <c r="AF99" s="138" t="s">
        <v>111</v>
      </c>
    </row>
    <row r="100" spans="1:32" s="62" customFormat="1" ht="16.5" thickBot="1">
      <c r="A100" s="63" t="s">
        <v>25</v>
      </c>
      <c r="B100" s="44"/>
      <c r="C100" s="43"/>
      <c r="D100" s="45"/>
      <c r="E100" s="43"/>
      <c r="F100" s="45"/>
      <c r="G100" s="43"/>
      <c r="H100" s="45"/>
      <c r="I100" s="43"/>
      <c r="J100" s="45"/>
      <c r="K100" s="43"/>
      <c r="L100" s="45"/>
      <c r="M100" s="43"/>
      <c r="N100" s="45"/>
      <c r="O100" s="43"/>
      <c r="P100" s="45"/>
      <c r="Q100" s="43"/>
      <c r="R100" s="45"/>
      <c r="S100" s="43"/>
      <c r="T100" s="45"/>
      <c r="U100" s="43"/>
      <c r="V100" s="45"/>
      <c r="W100" s="43"/>
      <c r="X100" s="45"/>
      <c r="Y100" s="43"/>
      <c r="Z100" s="45"/>
      <c r="AA100" s="43"/>
      <c r="AB100" s="45"/>
      <c r="AC100" s="43"/>
      <c r="AD100" s="45"/>
      <c r="AE100" s="43"/>
      <c r="AF100" s="45"/>
    </row>
    <row r="101" spans="1:32" ht="14.25" customHeight="1">
      <c r="A101" s="51" t="s">
        <v>239</v>
      </c>
      <c r="B101" s="96" t="str">
        <f t="shared" ref="B101:B107" si="2">IF(Metric,"m","ft")</f>
        <v>m</v>
      </c>
      <c r="C101" s="360">
        <v>1.8945036915504514</v>
      </c>
      <c r="D101" s="364"/>
      <c r="E101" s="475">
        <v>1.8715643906655144</v>
      </c>
      <c r="F101" s="482"/>
      <c r="G101" s="360"/>
      <c r="H101" s="364"/>
      <c r="I101" s="360"/>
      <c r="J101" s="364"/>
      <c r="K101" s="360"/>
      <c r="L101" s="364"/>
      <c r="M101" s="360"/>
      <c r="N101" s="364"/>
      <c r="O101" s="360"/>
      <c r="P101" s="364"/>
      <c r="Q101" s="360"/>
      <c r="R101" s="364"/>
      <c r="S101" s="360"/>
      <c r="T101" s="364"/>
      <c r="U101" s="360"/>
      <c r="V101" s="364"/>
      <c r="W101" s="360"/>
      <c r="X101" s="364"/>
      <c r="Y101" s="360"/>
      <c r="Z101" s="364"/>
      <c r="AA101" s="360"/>
      <c r="AB101" s="364"/>
      <c r="AC101" s="360"/>
      <c r="AD101" s="364"/>
      <c r="AE101" s="360"/>
      <c r="AF101" s="364"/>
    </row>
    <row r="102" spans="1:32" ht="14.25" customHeight="1">
      <c r="A102" s="107" t="s">
        <v>250</v>
      </c>
      <c r="B102" s="128" t="str">
        <f t="shared" si="2"/>
        <v>m</v>
      </c>
      <c r="C102" s="361">
        <v>2.5260049220672682</v>
      </c>
      <c r="D102" s="593"/>
      <c r="E102" s="479">
        <v>2.495419187554019</v>
      </c>
      <c r="F102" s="595"/>
      <c r="G102" s="361"/>
      <c r="H102" s="593"/>
      <c r="I102" s="361"/>
      <c r="J102" s="593"/>
      <c r="K102" s="361"/>
      <c r="L102" s="593"/>
      <c r="M102" s="362"/>
      <c r="N102" s="593"/>
      <c r="O102" s="362"/>
      <c r="P102" s="593"/>
      <c r="Q102" s="362"/>
      <c r="R102" s="593"/>
      <c r="S102" s="362"/>
      <c r="T102" s="593"/>
      <c r="U102" s="362"/>
      <c r="V102" s="593"/>
      <c r="W102" s="362"/>
      <c r="X102" s="593"/>
      <c r="Y102" s="362"/>
      <c r="Z102" s="593"/>
      <c r="AA102" s="362"/>
      <c r="AB102" s="593"/>
      <c r="AC102" s="362"/>
      <c r="AD102" s="593"/>
      <c r="AE102" s="362"/>
      <c r="AF102" s="593"/>
    </row>
    <row r="103" spans="1:32" ht="14.25" customHeight="1">
      <c r="A103" s="107" t="s">
        <v>240</v>
      </c>
      <c r="B103" s="128" t="str">
        <f t="shared" si="2"/>
        <v>m</v>
      </c>
      <c r="C103" s="362">
        <v>3.6837571780147664</v>
      </c>
      <c r="D103" s="593"/>
      <c r="E103" s="477">
        <v>3.6391529818496111</v>
      </c>
      <c r="F103" s="595"/>
      <c r="G103" s="362"/>
      <c r="H103" s="593"/>
      <c r="I103" s="362"/>
      <c r="J103" s="593"/>
      <c r="K103" s="362"/>
      <c r="L103" s="593"/>
      <c r="M103" s="362"/>
      <c r="N103" s="593"/>
      <c r="O103" s="362"/>
      <c r="P103" s="593"/>
      <c r="Q103" s="362"/>
      <c r="R103" s="593"/>
      <c r="S103" s="362"/>
      <c r="T103" s="593"/>
      <c r="U103" s="362"/>
      <c r="V103" s="593"/>
      <c r="W103" s="362"/>
      <c r="X103" s="593"/>
      <c r="Y103" s="362"/>
      <c r="Z103" s="593"/>
      <c r="AA103" s="362"/>
      <c r="AB103" s="593"/>
      <c r="AC103" s="362"/>
      <c r="AD103" s="593"/>
      <c r="AE103" s="362"/>
      <c r="AF103" s="593"/>
    </row>
    <row r="104" spans="1:32" ht="14.25" customHeight="1">
      <c r="A104" s="52" t="str">
        <f>CONCATENATE("Chain link "&amp;IF(Metric,"2.5 m - 3.0 m","8 ft -10 ft")&amp;" Install")</f>
        <v>Chain link 2.5 m - 3.0 m Install</v>
      </c>
      <c r="B104" s="128" t="str">
        <f t="shared" si="2"/>
        <v>m</v>
      </c>
      <c r="C104" s="361">
        <v>161.03281378178835</v>
      </c>
      <c r="D104" s="365"/>
      <c r="E104" s="479">
        <v>75</v>
      </c>
      <c r="F104" s="483"/>
      <c r="G104" s="361"/>
      <c r="H104" s="365"/>
      <c r="I104" s="361"/>
      <c r="J104" s="365"/>
      <c r="K104" s="361"/>
      <c r="L104" s="597"/>
      <c r="M104" s="368"/>
      <c r="N104" s="597"/>
      <c r="O104" s="368"/>
      <c r="P104" s="597"/>
      <c r="Q104" s="368"/>
      <c r="R104" s="597"/>
      <c r="S104" s="368"/>
      <c r="T104" s="597"/>
      <c r="U104" s="368"/>
      <c r="V104" s="597"/>
      <c r="W104" s="368"/>
      <c r="X104" s="597"/>
      <c r="Y104" s="368"/>
      <c r="Z104" s="597"/>
      <c r="AA104" s="368"/>
      <c r="AB104" s="597"/>
      <c r="AC104" s="368"/>
      <c r="AD104" s="597"/>
      <c r="AE104" s="368"/>
      <c r="AF104" s="597"/>
    </row>
    <row r="105" spans="1:32" ht="14.25" customHeight="1">
      <c r="A105" s="52" t="str">
        <f>CONCATENATE("Wood stockade fence "&amp;IF(Metric,"2 m","6 ft")&amp;" high - Install")</f>
        <v>Wood stockade fence 2 m high - Install</v>
      </c>
      <c r="B105" s="128" t="str">
        <f t="shared" si="2"/>
        <v>m</v>
      </c>
      <c r="C105" s="375">
        <v>205.23789991796556</v>
      </c>
      <c r="D105" s="594"/>
      <c r="E105" s="485">
        <v>100</v>
      </c>
      <c r="F105" s="596"/>
      <c r="G105" s="375"/>
      <c r="H105" s="594"/>
      <c r="I105" s="375"/>
      <c r="J105" s="594"/>
      <c r="K105" s="368"/>
      <c r="L105" s="597"/>
      <c r="M105" s="368"/>
      <c r="N105" s="597"/>
      <c r="O105" s="368"/>
      <c r="P105" s="597"/>
      <c r="Q105" s="368"/>
      <c r="R105" s="597"/>
      <c r="S105" s="368"/>
      <c r="T105" s="597"/>
      <c r="U105" s="368"/>
      <c r="V105" s="597"/>
      <c r="W105" s="368"/>
      <c r="X105" s="597"/>
      <c r="Y105" s="368"/>
      <c r="Z105" s="597"/>
      <c r="AA105" s="368"/>
      <c r="AB105" s="597"/>
      <c r="AC105" s="368"/>
      <c r="AD105" s="597"/>
      <c r="AE105" s="368"/>
      <c r="AF105" s="597"/>
    </row>
    <row r="106" spans="1:32" ht="14.25" customHeight="1">
      <c r="A106" s="336"/>
      <c r="B106" s="128" t="str">
        <f t="shared" si="2"/>
        <v>m</v>
      </c>
      <c r="C106" s="361"/>
      <c r="D106" s="365"/>
      <c r="E106" s="361"/>
      <c r="F106" s="365"/>
      <c r="G106" s="361"/>
      <c r="H106" s="365"/>
      <c r="I106" s="361"/>
      <c r="J106" s="365"/>
      <c r="K106" s="361"/>
      <c r="L106" s="365"/>
      <c r="M106" s="361"/>
      <c r="N106" s="365"/>
      <c r="O106" s="361"/>
      <c r="P106" s="365"/>
      <c r="Q106" s="361"/>
      <c r="R106" s="365"/>
      <c r="S106" s="361"/>
      <c r="T106" s="365"/>
      <c r="U106" s="361"/>
      <c r="V106" s="365"/>
      <c r="W106" s="361"/>
      <c r="X106" s="365"/>
      <c r="Y106" s="361"/>
      <c r="Z106" s="365"/>
      <c r="AA106" s="361"/>
      <c r="AB106" s="365"/>
      <c r="AC106" s="361"/>
      <c r="AD106" s="365"/>
      <c r="AE106" s="361"/>
      <c r="AF106" s="365"/>
    </row>
    <row r="107" spans="1:32" ht="14.25" customHeight="1">
      <c r="A107" s="336"/>
      <c r="B107" s="128" t="str">
        <f t="shared" si="2"/>
        <v>m</v>
      </c>
      <c r="C107" s="361"/>
      <c r="D107" s="365"/>
      <c r="E107" s="361"/>
      <c r="F107" s="365"/>
      <c r="G107" s="361"/>
      <c r="H107" s="365"/>
      <c r="I107" s="361"/>
      <c r="J107" s="365"/>
      <c r="K107" s="361"/>
      <c r="L107" s="365"/>
      <c r="M107" s="361"/>
      <c r="N107" s="365"/>
      <c r="O107" s="361"/>
      <c r="P107" s="365"/>
      <c r="Q107" s="361"/>
      <c r="R107" s="365"/>
      <c r="S107" s="361"/>
      <c r="T107" s="365"/>
      <c r="U107" s="361"/>
      <c r="V107" s="365"/>
      <c r="W107" s="361"/>
      <c r="X107" s="365"/>
      <c r="Y107" s="361"/>
      <c r="Z107" s="365"/>
      <c r="AA107" s="361"/>
      <c r="AB107" s="365"/>
      <c r="AC107" s="361"/>
      <c r="AD107" s="365"/>
      <c r="AE107" s="361"/>
      <c r="AF107" s="365"/>
    </row>
    <row r="108" spans="1:32">
      <c r="A108" s="52"/>
      <c r="B108" s="94"/>
      <c r="C108" s="52"/>
      <c r="D108" s="70"/>
      <c r="E108" s="52"/>
      <c r="F108" s="70"/>
      <c r="G108" s="52"/>
      <c r="H108" s="70"/>
      <c r="I108" s="52"/>
      <c r="J108" s="70"/>
      <c r="K108" s="52"/>
      <c r="L108" s="70"/>
      <c r="M108" s="52"/>
      <c r="N108" s="70"/>
      <c r="O108" s="52"/>
      <c r="P108" s="70"/>
      <c r="Q108" s="52"/>
      <c r="R108" s="70"/>
      <c r="S108" s="52"/>
      <c r="T108" s="70"/>
      <c r="U108" s="52"/>
      <c r="V108" s="70"/>
      <c r="W108" s="52"/>
      <c r="X108" s="70"/>
      <c r="Y108" s="52"/>
      <c r="Z108" s="70"/>
      <c r="AA108" s="52"/>
      <c r="AB108" s="70"/>
      <c r="AC108" s="52"/>
      <c r="AD108" s="70"/>
      <c r="AE108" s="52"/>
      <c r="AF108" s="70"/>
    </row>
    <row r="109" spans="1:32" ht="13.5" thickBot="1">
      <c r="A109" s="216"/>
      <c r="B109" s="97"/>
      <c r="C109" s="216"/>
      <c r="D109" s="217"/>
      <c r="E109" s="216"/>
      <c r="F109" s="217"/>
      <c r="G109" s="216"/>
      <c r="H109" s="217"/>
      <c r="I109" s="216"/>
      <c r="J109" s="217"/>
      <c r="K109" s="216"/>
      <c r="L109" s="217"/>
      <c r="M109" s="216"/>
      <c r="N109" s="217"/>
      <c r="O109" s="216"/>
      <c r="P109" s="217"/>
      <c r="Q109" s="216"/>
      <c r="R109" s="217"/>
      <c r="S109" s="216"/>
      <c r="T109" s="217"/>
      <c r="U109" s="216"/>
      <c r="V109" s="217"/>
      <c r="W109" s="216"/>
      <c r="X109" s="217"/>
      <c r="Y109" s="216"/>
      <c r="Z109" s="217"/>
      <c r="AA109" s="216"/>
      <c r="AB109" s="217"/>
      <c r="AC109" s="216"/>
      <c r="AD109" s="217"/>
      <c r="AE109" s="216"/>
      <c r="AF109" s="217"/>
    </row>
    <row r="110" spans="1:32" ht="16.5" thickBot="1">
      <c r="A110" s="63" t="s">
        <v>396</v>
      </c>
      <c r="B110" s="44"/>
      <c r="C110" s="43"/>
      <c r="D110" s="45"/>
      <c r="E110" s="43"/>
      <c r="F110" s="45"/>
      <c r="G110" s="43"/>
      <c r="H110" s="45"/>
      <c r="I110" s="43"/>
      <c r="J110" s="45"/>
      <c r="K110" s="43"/>
      <c r="L110" s="45"/>
      <c r="M110" s="43"/>
      <c r="N110" s="45"/>
      <c r="O110" s="43"/>
      <c r="P110" s="45"/>
      <c r="Q110" s="43"/>
      <c r="R110" s="45"/>
      <c r="S110" s="43"/>
      <c r="T110" s="45"/>
      <c r="U110" s="43"/>
      <c r="V110" s="45"/>
      <c r="W110" s="43"/>
      <c r="X110" s="45"/>
      <c r="Y110" s="43"/>
      <c r="Z110" s="45"/>
      <c r="AA110" s="43"/>
      <c r="AB110" s="45"/>
      <c r="AC110" s="43"/>
      <c r="AD110" s="45"/>
      <c r="AE110" s="43"/>
      <c r="AF110" s="45"/>
    </row>
    <row r="111" spans="1:32" ht="14.25" customHeight="1">
      <c r="A111" s="51" t="s">
        <v>241</v>
      </c>
      <c r="B111" s="96" t="str">
        <f t="shared" ref="B111:B117" si="3">IF(Metric,"m","ft")</f>
        <v>m</v>
      </c>
      <c r="C111" s="360">
        <v>1.0525020508613618</v>
      </c>
      <c r="D111" s="586"/>
      <c r="E111" s="475">
        <v>1.0397579948141746</v>
      </c>
      <c r="F111" s="586"/>
      <c r="G111" s="360"/>
      <c r="H111" s="586"/>
      <c r="I111" s="360"/>
      <c r="J111" s="586"/>
      <c r="K111" s="360"/>
      <c r="L111" s="586"/>
      <c r="M111" s="360"/>
      <c r="N111" s="586"/>
      <c r="O111" s="360"/>
      <c r="P111" s="586"/>
      <c r="Q111" s="360"/>
      <c r="R111" s="586"/>
      <c r="S111" s="360"/>
      <c r="T111" s="586"/>
      <c r="U111" s="360"/>
      <c r="V111" s="586"/>
      <c r="W111" s="360"/>
      <c r="X111" s="586"/>
      <c r="Y111" s="360"/>
      <c r="Z111" s="586"/>
      <c r="AA111" s="360"/>
      <c r="AB111" s="586"/>
      <c r="AC111" s="360"/>
      <c r="AD111" s="586"/>
      <c r="AE111" s="360"/>
      <c r="AF111" s="586"/>
    </row>
    <row r="112" spans="1:32" ht="14.25" customHeight="1">
      <c r="A112" s="52" t="s">
        <v>251</v>
      </c>
      <c r="B112" s="94" t="str">
        <f t="shared" si="3"/>
        <v>m</v>
      </c>
      <c r="C112" s="361">
        <v>1.3682526661197705</v>
      </c>
      <c r="D112" s="586"/>
      <c r="E112" s="479">
        <v>1.3516853932584272</v>
      </c>
      <c r="F112" s="586"/>
      <c r="G112" s="361"/>
      <c r="H112" s="586"/>
      <c r="I112" s="361"/>
      <c r="J112" s="586"/>
      <c r="K112" s="361"/>
      <c r="L112" s="586"/>
      <c r="M112" s="361"/>
      <c r="N112" s="586"/>
      <c r="O112" s="361"/>
      <c r="P112" s="586"/>
      <c r="Q112" s="361"/>
      <c r="R112" s="586"/>
      <c r="S112" s="361"/>
      <c r="T112" s="586"/>
      <c r="U112" s="361"/>
      <c r="V112" s="586"/>
      <c r="W112" s="361"/>
      <c r="X112" s="586"/>
      <c r="Y112" s="361"/>
      <c r="Z112" s="586"/>
      <c r="AA112" s="361"/>
      <c r="AB112" s="586"/>
      <c r="AC112" s="361"/>
      <c r="AD112" s="586"/>
      <c r="AE112" s="361"/>
      <c r="AF112" s="586"/>
    </row>
    <row r="113" spans="1:32" ht="14.25" customHeight="1">
      <c r="A113" s="52" t="s">
        <v>242</v>
      </c>
      <c r="B113" s="94" t="str">
        <f t="shared" si="3"/>
        <v>m</v>
      </c>
      <c r="C113" s="361">
        <v>1.6840032813781791</v>
      </c>
      <c r="D113" s="586"/>
      <c r="E113" s="479">
        <v>1.6636127917026795</v>
      </c>
      <c r="F113" s="586"/>
      <c r="G113" s="361"/>
      <c r="H113" s="586"/>
      <c r="I113" s="361"/>
      <c r="J113" s="586"/>
      <c r="K113" s="361"/>
      <c r="L113" s="586"/>
      <c r="M113" s="361"/>
      <c r="N113" s="586"/>
      <c r="O113" s="361"/>
      <c r="P113" s="586"/>
      <c r="Q113" s="361"/>
      <c r="R113" s="586"/>
      <c r="S113" s="361"/>
      <c r="T113" s="586"/>
      <c r="U113" s="361"/>
      <c r="V113" s="586"/>
      <c r="W113" s="361"/>
      <c r="X113" s="586"/>
      <c r="Y113" s="361"/>
      <c r="Z113" s="586"/>
      <c r="AA113" s="361"/>
      <c r="AB113" s="586"/>
      <c r="AC113" s="361"/>
      <c r="AD113" s="586"/>
      <c r="AE113" s="361"/>
      <c r="AF113" s="586"/>
    </row>
    <row r="114" spans="1:32" ht="14.25" customHeight="1">
      <c r="A114" s="52" t="str">
        <f>CONCATENATE("Chain link " &amp; IF(Metric,"2.5 m - 3.0 m","8 ft -10 ft") &amp; " Removal")</f>
        <v>Chain link 2.5 m - 3.0 m Removal</v>
      </c>
      <c r="B114" s="94" t="str">
        <f t="shared" si="3"/>
        <v>m</v>
      </c>
      <c r="C114" s="368">
        <v>52.625102543068095</v>
      </c>
      <c r="D114" s="586"/>
      <c r="E114" s="486">
        <v>39</v>
      </c>
      <c r="F114" s="586"/>
      <c r="G114" s="368"/>
      <c r="H114" s="586"/>
      <c r="I114" s="368"/>
      <c r="J114" s="586"/>
      <c r="K114" s="368"/>
      <c r="L114" s="586"/>
      <c r="M114" s="368"/>
      <c r="N114" s="586"/>
      <c r="O114" s="368"/>
      <c r="P114" s="586"/>
      <c r="Q114" s="368"/>
      <c r="R114" s="586"/>
      <c r="S114" s="368"/>
      <c r="T114" s="586"/>
      <c r="U114" s="368"/>
      <c r="V114" s="586"/>
      <c r="W114" s="368"/>
      <c r="X114" s="586"/>
      <c r="Y114" s="368"/>
      <c r="Z114" s="586"/>
      <c r="AA114" s="368"/>
      <c r="AB114" s="586"/>
      <c r="AC114" s="368"/>
      <c r="AD114" s="586"/>
      <c r="AE114" s="368"/>
      <c r="AF114" s="586"/>
    </row>
    <row r="115" spans="1:32" ht="14.25" customHeight="1">
      <c r="A115" s="52" t="str">
        <f>CONCATENATE("Wood, all types " &amp; IF(Metric,"1.5 m - 2.0 m","4 ft -6 ft high") &amp; " Removal")</f>
        <v>Wood, all types 1.5 m - 2.0 m Removal</v>
      </c>
      <c r="B115" s="94" t="str">
        <f t="shared" si="3"/>
        <v>m</v>
      </c>
      <c r="C115" s="368">
        <v>47.362592288761284</v>
      </c>
      <c r="D115" s="586"/>
      <c r="E115" s="486">
        <v>35</v>
      </c>
      <c r="F115" s="586"/>
      <c r="G115" s="368"/>
      <c r="H115" s="586"/>
      <c r="I115" s="368"/>
      <c r="J115" s="586"/>
      <c r="K115" s="368"/>
      <c r="L115" s="586"/>
      <c r="M115" s="368"/>
      <c r="N115" s="586"/>
      <c r="O115" s="368"/>
      <c r="P115" s="586"/>
      <c r="Q115" s="368"/>
      <c r="R115" s="586"/>
      <c r="S115" s="368"/>
      <c r="T115" s="586"/>
      <c r="U115" s="368"/>
      <c r="V115" s="586"/>
      <c r="W115" s="368"/>
      <c r="X115" s="586"/>
      <c r="Y115" s="368"/>
      <c r="Z115" s="586"/>
      <c r="AA115" s="368"/>
      <c r="AB115" s="586"/>
      <c r="AC115" s="368"/>
      <c r="AD115" s="586"/>
      <c r="AE115" s="368"/>
      <c r="AF115" s="586"/>
    </row>
    <row r="116" spans="1:32" ht="14.25" customHeight="1">
      <c r="A116" s="336"/>
      <c r="B116" s="94" t="str">
        <f t="shared" si="3"/>
        <v>m</v>
      </c>
      <c r="C116" s="361"/>
      <c r="D116" s="586"/>
      <c r="E116" s="361"/>
      <c r="F116" s="586"/>
      <c r="G116" s="361"/>
      <c r="H116" s="586"/>
      <c r="I116" s="361"/>
      <c r="J116" s="586"/>
      <c r="K116" s="361"/>
      <c r="L116" s="586"/>
      <c r="M116" s="361"/>
      <c r="N116" s="586"/>
      <c r="O116" s="361"/>
      <c r="P116" s="586"/>
      <c r="Q116" s="361"/>
      <c r="R116" s="586"/>
      <c r="S116" s="361"/>
      <c r="T116" s="586"/>
      <c r="U116" s="361"/>
      <c r="V116" s="586"/>
      <c r="W116" s="361"/>
      <c r="X116" s="586"/>
      <c r="Y116" s="361"/>
      <c r="Z116" s="586"/>
      <c r="AA116" s="361"/>
      <c r="AB116" s="586"/>
      <c r="AC116" s="361"/>
      <c r="AD116" s="586"/>
      <c r="AE116" s="361"/>
      <c r="AF116" s="586"/>
    </row>
    <row r="117" spans="1:32" ht="14.25" customHeight="1">
      <c r="A117" s="336"/>
      <c r="B117" s="94" t="str">
        <f t="shared" si="3"/>
        <v>m</v>
      </c>
      <c r="C117" s="361"/>
      <c r="D117" s="586"/>
      <c r="E117" s="361"/>
      <c r="F117" s="586"/>
      <c r="G117" s="361"/>
      <c r="H117" s="586"/>
      <c r="I117" s="361"/>
      <c r="J117" s="586"/>
      <c r="K117" s="361"/>
      <c r="L117" s="586"/>
      <c r="M117" s="361"/>
      <c r="N117" s="586"/>
      <c r="O117" s="361"/>
      <c r="P117" s="586"/>
      <c r="Q117" s="361"/>
      <c r="R117" s="586"/>
      <c r="S117" s="361"/>
      <c r="T117" s="586"/>
      <c r="U117" s="361"/>
      <c r="V117" s="586"/>
      <c r="W117" s="361"/>
      <c r="X117" s="586"/>
      <c r="Y117" s="361"/>
      <c r="Z117" s="586"/>
      <c r="AA117" s="361"/>
      <c r="AB117" s="586"/>
      <c r="AC117" s="361"/>
      <c r="AD117" s="586"/>
      <c r="AE117" s="361"/>
      <c r="AF117" s="586"/>
    </row>
    <row r="118" spans="1:32">
      <c r="A118" s="52"/>
      <c r="B118" s="94"/>
      <c r="C118" s="52"/>
      <c r="D118" s="70"/>
      <c r="E118" s="52"/>
      <c r="F118" s="70"/>
      <c r="G118" s="52"/>
      <c r="H118" s="70"/>
      <c r="I118" s="52"/>
      <c r="J118" s="70"/>
      <c r="K118" s="52"/>
      <c r="L118" s="70"/>
      <c r="M118" s="52"/>
      <c r="N118" s="70"/>
      <c r="O118" s="52"/>
      <c r="P118" s="70"/>
      <c r="Q118" s="52"/>
      <c r="R118" s="70"/>
      <c r="S118" s="52"/>
      <c r="T118" s="70"/>
      <c r="U118" s="52"/>
      <c r="V118" s="70"/>
      <c r="W118" s="52"/>
      <c r="X118" s="70"/>
      <c r="Y118" s="52"/>
      <c r="Z118" s="70"/>
      <c r="AA118" s="52"/>
      <c r="AB118" s="70"/>
      <c r="AC118" s="52"/>
      <c r="AD118" s="70"/>
      <c r="AE118" s="52"/>
      <c r="AF118" s="70"/>
    </row>
    <row r="119" spans="1:32" ht="13.5" thickBot="1">
      <c r="A119" s="216"/>
      <c r="B119" s="97"/>
      <c r="C119" s="216"/>
      <c r="D119" s="217"/>
      <c r="E119" s="216"/>
      <c r="F119" s="217"/>
      <c r="G119" s="216"/>
      <c r="H119" s="217"/>
      <c r="I119" s="216"/>
      <c r="J119" s="217"/>
      <c r="K119" s="216"/>
      <c r="L119" s="217"/>
      <c r="M119" s="216"/>
      <c r="N119" s="217"/>
      <c r="O119" s="216"/>
      <c r="P119" s="217"/>
      <c r="Q119" s="216"/>
      <c r="R119" s="217"/>
      <c r="S119" s="216"/>
      <c r="T119" s="217"/>
      <c r="U119" s="216"/>
      <c r="V119" s="217"/>
      <c r="W119" s="216"/>
      <c r="X119" s="217"/>
      <c r="Y119" s="216"/>
      <c r="Z119" s="217"/>
      <c r="AA119" s="216"/>
      <c r="AB119" s="217"/>
      <c r="AC119" s="216"/>
      <c r="AD119" s="217"/>
      <c r="AE119" s="216"/>
      <c r="AF119" s="217"/>
    </row>
    <row r="120" spans="1:32" ht="16.5" thickBot="1">
      <c r="A120" s="63" t="s">
        <v>326</v>
      </c>
      <c r="B120" s="44"/>
      <c r="C120" s="43"/>
      <c r="D120" s="45"/>
      <c r="E120" s="43"/>
      <c r="F120" s="45"/>
      <c r="G120" s="43"/>
      <c r="H120" s="45"/>
      <c r="I120" s="43"/>
      <c r="J120" s="45"/>
      <c r="K120" s="43"/>
      <c r="L120" s="45"/>
      <c r="M120" s="43"/>
      <c r="N120" s="45"/>
      <c r="O120" s="43"/>
      <c r="P120" s="45"/>
      <c r="Q120" s="43"/>
      <c r="R120" s="45"/>
      <c r="S120" s="43"/>
      <c r="T120" s="45"/>
      <c r="U120" s="43"/>
      <c r="V120" s="45"/>
      <c r="W120" s="43"/>
      <c r="X120" s="45"/>
      <c r="Y120" s="43"/>
      <c r="Z120" s="45"/>
      <c r="AA120" s="43"/>
      <c r="AB120" s="45"/>
      <c r="AC120" s="43"/>
      <c r="AD120" s="45"/>
      <c r="AE120" s="43"/>
      <c r="AF120" s="45"/>
    </row>
    <row r="121" spans="1:32" ht="14.25" customHeight="1">
      <c r="A121" s="107" t="s">
        <v>327</v>
      </c>
      <c r="B121" s="128" t="str">
        <f>IF(Metric,"m","ft")</f>
        <v>m</v>
      </c>
      <c r="C121" s="360">
        <v>8.1999999999999993</v>
      </c>
      <c r="D121" s="364"/>
      <c r="E121" s="475">
        <v>8.1999999999999993</v>
      </c>
      <c r="F121" s="482"/>
      <c r="G121" s="360"/>
      <c r="H121" s="364"/>
      <c r="I121" s="360"/>
      <c r="J121" s="364"/>
      <c r="K121" s="360"/>
      <c r="L121" s="364"/>
      <c r="M121" s="360"/>
      <c r="N121" s="364"/>
      <c r="O121" s="360"/>
      <c r="P121" s="364"/>
      <c r="Q121" s="360"/>
      <c r="R121" s="364"/>
      <c r="S121" s="360"/>
      <c r="T121" s="364"/>
      <c r="U121" s="360"/>
      <c r="V121" s="364"/>
      <c r="W121" s="360"/>
      <c r="X121" s="364"/>
      <c r="Y121" s="360"/>
      <c r="Z121" s="364"/>
      <c r="AA121" s="360"/>
      <c r="AB121" s="364"/>
      <c r="AC121" s="360"/>
      <c r="AD121" s="364"/>
      <c r="AE121" s="360"/>
      <c r="AF121" s="364"/>
    </row>
    <row r="122" spans="1:32" ht="14.25" customHeight="1">
      <c r="A122" s="107" t="s">
        <v>328</v>
      </c>
      <c r="B122" s="94" t="str">
        <f>IF(Metric,"m","ft")</f>
        <v>m</v>
      </c>
      <c r="C122" s="361">
        <v>9.3699999999999992</v>
      </c>
      <c r="D122" s="365"/>
      <c r="E122" s="479">
        <v>9.3699999999999992</v>
      </c>
      <c r="F122" s="483"/>
      <c r="G122" s="361"/>
      <c r="H122" s="365"/>
      <c r="I122" s="361"/>
      <c r="J122" s="365"/>
      <c r="K122" s="361"/>
      <c r="L122" s="365"/>
      <c r="M122" s="361"/>
      <c r="N122" s="365"/>
      <c r="O122" s="361"/>
      <c r="P122" s="365"/>
      <c r="Q122" s="361"/>
      <c r="R122" s="365"/>
      <c r="S122" s="361"/>
      <c r="T122" s="365"/>
      <c r="U122" s="361"/>
      <c r="V122" s="365"/>
      <c r="W122" s="361"/>
      <c r="X122" s="365"/>
      <c r="Y122" s="361"/>
      <c r="Z122" s="365"/>
      <c r="AA122" s="361"/>
      <c r="AB122" s="365"/>
      <c r="AC122" s="361"/>
      <c r="AD122" s="365"/>
      <c r="AE122" s="361"/>
      <c r="AF122" s="365"/>
    </row>
    <row r="123" spans="1:32" ht="14.25" customHeight="1">
      <c r="A123" s="107" t="s">
        <v>329</v>
      </c>
      <c r="B123" s="94" t="str">
        <f>IF(Metric,"m","ft")</f>
        <v>m</v>
      </c>
      <c r="C123" s="361">
        <v>10.94</v>
      </c>
      <c r="D123" s="365"/>
      <c r="E123" s="479">
        <v>10.94</v>
      </c>
      <c r="F123" s="483"/>
      <c r="G123" s="361"/>
      <c r="H123" s="365"/>
      <c r="I123" s="361"/>
      <c r="J123" s="365"/>
      <c r="K123" s="361"/>
      <c r="L123" s="365"/>
      <c r="M123" s="361"/>
      <c r="N123" s="365"/>
      <c r="O123" s="361"/>
      <c r="P123" s="365"/>
      <c r="Q123" s="361"/>
      <c r="R123" s="365"/>
      <c r="S123" s="361"/>
      <c r="T123" s="365"/>
      <c r="U123" s="361"/>
      <c r="V123" s="365"/>
      <c r="W123" s="361"/>
      <c r="X123" s="365"/>
      <c r="Y123" s="361"/>
      <c r="Z123" s="365"/>
      <c r="AA123" s="361"/>
      <c r="AB123" s="365"/>
      <c r="AC123" s="361"/>
      <c r="AD123" s="365"/>
      <c r="AE123" s="361"/>
      <c r="AF123" s="365"/>
    </row>
    <row r="124" spans="1:32" ht="14.25" customHeight="1" thickBot="1">
      <c r="A124" s="52" t="s">
        <v>330</v>
      </c>
      <c r="B124" s="94" t="str">
        <f>IF(Metric,"m","ft")</f>
        <v>m</v>
      </c>
      <c r="C124" s="363">
        <v>13.12</v>
      </c>
      <c r="D124" s="366"/>
      <c r="E124" s="481">
        <v>13.12</v>
      </c>
      <c r="F124" s="484"/>
      <c r="G124" s="363"/>
      <c r="H124" s="366"/>
      <c r="I124" s="363"/>
      <c r="J124" s="366"/>
      <c r="K124" s="363"/>
      <c r="L124" s="366"/>
      <c r="M124" s="363"/>
      <c r="N124" s="366"/>
      <c r="O124" s="363"/>
      <c r="P124" s="366"/>
      <c r="Q124" s="363"/>
      <c r="R124" s="366"/>
      <c r="S124" s="363"/>
      <c r="T124" s="366"/>
      <c r="U124" s="363"/>
      <c r="V124" s="366"/>
      <c r="W124" s="363"/>
      <c r="X124" s="366"/>
      <c r="Y124" s="363"/>
      <c r="Z124" s="366"/>
      <c r="AA124" s="363"/>
      <c r="AB124" s="366"/>
      <c r="AC124" s="363"/>
      <c r="AD124" s="366"/>
      <c r="AE124" s="363"/>
      <c r="AF124" s="366"/>
    </row>
    <row r="125" spans="1:32" ht="16.5" thickBot="1">
      <c r="A125" s="63" t="s">
        <v>331</v>
      </c>
      <c r="B125" s="44"/>
      <c r="C125" s="43"/>
      <c r="D125" s="45"/>
      <c r="E125" s="43"/>
      <c r="F125" s="45"/>
      <c r="G125" s="43"/>
      <c r="H125" s="45"/>
      <c r="I125" s="43"/>
      <c r="J125" s="45"/>
      <c r="K125" s="43"/>
      <c r="L125" s="45"/>
      <c r="M125" s="43"/>
      <c r="N125" s="45"/>
      <c r="O125" s="43"/>
      <c r="P125" s="45"/>
      <c r="Q125" s="43"/>
      <c r="R125" s="45"/>
      <c r="S125" s="43"/>
      <c r="T125" s="45"/>
      <c r="U125" s="43"/>
      <c r="V125" s="45"/>
      <c r="W125" s="43"/>
      <c r="X125" s="45"/>
      <c r="Y125" s="43"/>
      <c r="Z125" s="45"/>
      <c r="AA125" s="43"/>
      <c r="AB125" s="45"/>
      <c r="AC125" s="43"/>
      <c r="AD125" s="45"/>
      <c r="AE125" s="43"/>
      <c r="AF125" s="45"/>
    </row>
    <row r="126" spans="1:32" ht="14.25" customHeight="1">
      <c r="A126" s="107" t="s">
        <v>332</v>
      </c>
      <c r="B126" s="128" t="str">
        <f>IF(Metric,"m","ft")</f>
        <v>m</v>
      </c>
      <c r="C126" s="360">
        <v>5.0599999999999996</v>
      </c>
      <c r="D126" s="364"/>
      <c r="E126" s="475">
        <v>5.0599999999999996</v>
      </c>
      <c r="F126" s="482"/>
      <c r="G126" s="360"/>
      <c r="H126" s="364"/>
      <c r="I126" s="360"/>
      <c r="J126" s="364"/>
      <c r="K126" s="360"/>
      <c r="L126" s="364"/>
      <c r="M126" s="360"/>
      <c r="N126" s="364"/>
      <c r="O126" s="360"/>
      <c r="P126" s="364"/>
      <c r="Q126" s="360"/>
      <c r="R126" s="364"/>
      <c r="S126" s="360"/>
      <c r="T126" s="364"/>
      <c r="U126" s="360"/>
      <c r="V126" s="364"/>
      <c r="W126" s="360"/>
      <c r="X126" s="364"/>
      <c r="Y126" s="360"/>
      <c r="Z126" s="364"/>
      <c r="AA126" s="360"/>
      <c r="AB126" s="364"/>
      <c r="AC126" s="360"/>
      <c r="AD126" s="364"/>
      <c r="AE126" s="360"/>
      <c r="AF126" s="364"/>
    </row>
    <row r="127" spans="1:32" ht="14.25" customHeight="1">
      <c r="A127" s="107" t="s">
        <v>333</v>
      </c>
      <c r="B127" s="94" t="str">
        <f>IF(Metric,"m","ft")</f>
        <v>m</v>
      </c>
      <c r="C127" s="361">
        <v>5.7</v>
      </c>
      <c r="D127" s="365"/>
      <c r="E127" s="479">
        <v>5.7</v>
      </c>
      <c r="F127" s="483"/>
      <c r="G127" s="361"/>
      <c r="H127" s="365"/>
      <c r="I127" s="361"/>
      <c r="J127" s="365"/>
      <c r="K127" s="361"/>
      <c r="L127" s="365"/>
      <c r="M127" s="361"/>
      <c r="N127" s="365"/>
      <c r="O127" s="361"/>
      <c r="P127" s="365"/>
      <c r="Q127" s="361"/>
      <c r="R127" s="365"/>
      <c r="S127" s="361"/>
      <c r="T127" s="365"/>
      <c r="U127" s="361"/>
      <c r="V127" s="365"/>
      <c r="W127" s="361"/>
      <c r="X127" s="365"/>
      <c r="Y127" s="361"/>
      <c r="Z127" s="365"/>
      <c r="AA127" s="361"/>
      <c r="AB127" s="365"/>
      <c r="AC127" s="361"/>
      <c r="AD127" s="365"/>
      <c r="AE127" s="361"/>
      <c r="AF127" s="365"/>
    </row>
    <row r="128" spans="1:32" ht="14.25" customHeight="1">
      <c r="A128" s="107" t="s">
        <v>334</v>
      </c>
      <c r="B128" s="94" t="str">
        <f>IF(Metric,"m","ft")</f>
        <v>m</v>
      </c>
      <c r="C128" s="361">
        <v>6.5</v>
      </c>
      <c r="D128" s="365"/>
      <c r="E128" s="479">
        <v>6.5</v>
      </c>
      <c r="F128" s="483"/>
      <c r="G128" s="361"/>
      <c r="H128" s="365"/>
      <c r="I128" s="361"/>
      <c r="J128" s="365"/>
      <c r="K128" s="361"/>
      <c r="L128" s="365"/>
      <c r="M128" s="361"/>
      <c r="N128" s="365"/>
      <c r="O128" s="361"/>
      <c r="P128" s="365"/>
      <c r="Q128" s="361"/>
      <c r="R128" s="365"/>
      <c r="S128" s="361"/>
      <c r="T128" s="365"/>
      <c r="U128" s="361"/>
      <c r="V128" s="365"/>
      <c r="W128" s="361"/>
      <c r="X128" s="365"/>
      <c r="Y128" s="361"/>
      <c r="Z128" s="365"/>
      <c r="AA128" s="361"/>
      <c r="AB128" s="365"/>
      <c r="AC128" s="361"/>
      <c r="AD128" s="365"/>
      <c r="AE128" s="361"/>
      <c r="AF128" s="365"/>
    </row>
    <row r="129" spans="1:32" ht="14.25" customHeight="1" thickBot="1">
      <c r="A129" s="52" t="s">
        <v>375</v>
      </c>
      <c r="B129" s="94" t="str">
        <f>IF(Metric,"m","ft")</f>
        <v>m</v>
      </c>
      <c r="C129" s="363">
        <v>7.6</v>
      </c>
      <c r="D129" s="366"/>
      <c r="E129" s="481">
        <v>7.6</v>
      </c>
      <c r="F129" s="484"/>
      <c r="G129" s="363"/>
      <c r="H129" s="366"/>
      <c r="I129" s="363"/>
      <c r="J129" s="366"/>
      <c r="K129" s="363"/>
      <c r="L129" s="366"/>
      <c r="M129" s="363"/>
      <c r="N129" s="366"/>
      <c r="O129" s="363"/>
      <c r="P129" s="366"/>
      <c r="Q129" s="363"/>
      <c r="R129" s="366"/>
      <c r="S129" s="363"/>
      <c r="T129" s="366"/>
      <c r="U129" s="363"/>
      <c r="V129" s="366"/>
      <c r="W129" s="363"/>
      <c r="X129" s="366"/>
      <c r="Y129" s="363"/>
      <c r="Z129" s="366"/>
      <c r="AA129" s="363"/>
      <c r="AB129" s="366"/>
      <c r="AC129" s="363"/>
      <c r="AD129" s="366"/>
      <c r="AE129" s="363"/>
      <c r="AF129" s="366"/>
    </row>
    <row r="130" spans="1:32" ht="16.5" thickBot="1">
      <c r="A130" s="63" t="s">
        <v>254</v>
      </c>
      <c r="B130" s="44"/>
      <c r="C130" s="43"/>
      <c r="D130" s="45"/>
      <c r="E130" s="43"/>
      <c r="F130" s="45"/>
      <c r="G130" s="43"/>
      <c r="H130" s="45"/>
      <c r="I130" s="43"/>
      <c r="J130" s="45"/>
      <c r="K130" s="43"/>
      <c r="L130" s="45"/>
      <c r="M130" s="43"/>
      <c r="N130" s="45"/>
      <c r="O130" s="43"/>
      <c r="P130" s="45"/>
      <c r="Q130" s="43"/>
      <c r="R130" s="45"/>
      <c r="S130" s="43"/>
      <c r="T130" s="45"/>
      <c r="U130" s="43"/>
      <c r="V130" s="45"/>
      <c r="W130" s="43"/>
      <c r="X130" s="45"/>
      <c r="Y130" s="43"/>
      <c r="Z130" s="45"/>
      <c r="AA130" s="43"/>
      <c r="AB130" s="45"/>
      <c r="AC130" s="43"/>
      <c r="AD130" s="45"/>
      <c r="AE130" s="43"/>
      <c r="AF130" s="45"/>
    </row>
    <row r="131" spans="1:32" ht="14.25" customHeight="1">
      <c r="A131" s="107" t="s">
        <v>369</v>
      </c>
      <c r="B131" s="94" t="str">
        <f t="shared" ref="B131:B137" si="4">IF(Metric,"m","ft")</f>
        <v>m</v>
      </c>
      <c r="C131" s="361">
        <v>63.22</v>
      </c>
      <c r="D131" s="365"/>
      <c r="E131" s="479">
        <v>63.22</v>
      </c>
      <c r="F131" s="483"/>
      <c r="G131" s="361"/>
      <c r="H131" s="365"/>
      <c r="I131" s="361"/>
      <c r="J131" s="365"/>
      <c r="K131" s="361"/>
      <c r="L131" s="365"/>
      <c r="M131" s="361"/>
      <c r="N131" s="365"/>
      <c r="O131" s="361"/>
      <c r="P131" s="365"/>
      <c r="Q131" s="361"/>
      <c r="R131" s="365"/>
      <c r="S131" s="361"/>
      <c r="T131" s="365"/>
      <c r="U131" s="361"/>
      <c r="V131" s="365"/>
      <c r="W131" s="361"/>
      <c r="X131" s="365"/>
      <c r="Y131" s="361"/>
      <c r="Z131" s="365"/>
      <c r="AA131" s="361"/>
      <c r="AB131" s="365"/>
      <c r="AC131" s="361"/>
      <c r="AD131" s="365"/>
      <c r="AE131" s="361"/>
      <c r="AF131" s="365"/>
    </row>
    <row r="132" spans="1:32" ht="14.25" customHeight="1">
      <c r="A132" s="107" t="s">
        <v>370</v>
      </c>
      <c r="B132" s="94" t="str">
        <f t="shared" si="4"/>
        <v>m</v>
      </c>
      <c r="C132" s="361">
        <v>81</v>
      </c>
      <c r="D132" s="365"/>
      <c r="E132" s="479">
        <v>81</v>
      </c>
      <c r="F132" s="483"/>
      <c r="G132" s="361"/>
      <c r="H132" s="365"/>
      <c r="I132" s="361"/>
      <c r="J132" s="365"/>
      <c r="K132" s="361"/>
      <c r="L132" s="365"/>
      <c r="M132" s="361"/>
      <c r="N132" s="365"/>
      <c r="O132" s="361"/>
      <c r="P132" s="365"/>
      <c r="Q132" s="361"/>
      <c r="R132" s="365"/>
      <c r="S132" s="361"/>
      <c r="T132" s="365"/>
      <c r="U132" s="361"/>
      <c r="V132" s="365"/>
      <c r="W132" s="361"/>
      <c r="X132" s="365"/>
      <c r="Y132" s="361"/>
      <c r="Z132" s="365"/>
      <c r="AA132" s="361"/>
      <c r="AB132" s="365"/>
      <c r="AC132" s="361"/>
      <c r="AD132" s="365"/>
      <c r="AE132" s="361"/>
      <c r="AF132" s="365"/>
    </row>
    <row r="133" spans="1:32" ht="14.25" customHeight="1">
      <c r="A133" s="52" t="s">
        <v>350</v>
      </c>
      <c r="B133" s="94" t="str">
        <f t="shared" si="4"/>
        <v>m</v>
      </c>
      <c r="C133" s="361">
        <v>169.38</v>
      </c>
      <c r="D133" s="365"/>
      <c r="E133" s="479">
        <v>169.38</v>
      </c>
      <c r="F133" s="483"/>
      <c r="G133" s="361"/>
      <c r="H133" s="365"/>
      <c r="I133" s="361"/>
      <c r="J133" s="365"/>
      <c r="K133" s="361"/>
      <c r="L133" s="365"/>
      <c r="M133" s="361"/>
      <c r="N133" s="365"/>
      <c r="O133" s="361"/>
      <c r="P133" s="365"/>
      <c r="Q133" s="361"/>
      <c r="R133" s="365"/>
      <c r="S133" s="361"/>
      <c r="T133" s="365"/>
      <c r="U133" s="361"/>
      <c r="V133" s="365"/>
      <c r="W133" s="361"/>
      <c r="X133" s="365"/>
      <c r="Y133" s="361"/>
      <c r="Z133" s="365"/>
      <c r="AA133" s="361"/>
      <c r="AB133" s="365"/>
      <c r="AC133" s="361"/>
      <c r="AD133" s="365"/>
      <c r="AE133" s="361"/>
      <c r="AF133" s="365"/>
    </row>
    <row r="134" spans="1:32" ht="14.25" customHeight="1">
      <c r="A134" s="52" t="s">
        <v>371</v>
      </c>
      <c r="B134" s="94" t="str">
        <f t="shared" si="4"/>
        <v>m</v>
      </c>
      <c r="C134" s="361">
        <v>83.49</v>
      </c>
      <c r="D134" s="365"/>
      <c r="E134" s="479">
        <v>83.49</v>
      </c>
      <c r="F134" s="483"/>
      <c r="G134" s="361"/>
      <c r="H134" s="365"/>
      <c r="I134" s="361"/>
      <c r="J134" s="365"/>
      <c r="K134" s="361"/>
      <c r="L134" s="365"/>
      <c r="M134" s="361"/>
      <c r="N134" s="365"/>
      <c r="O134" s="361"/>
      <c r="P134" s="365"/>
      <c r="Q134" s="361"/>
      <c r="R134" s="365"/>
      <c r="S134" s="361"/>
      <c r="T134" s="365"/>
      <c r="U134" s="361"/>
      <c r="V134" s="365"/>
      <c r="W134" s="361"/>
      <c r="X134" s="365"/>
      <c r="Y134" s="361"/>
      <c r="Z134" s="365"/>
      <c r="AA134" s="361"/>
      <c r="AB134" s="365"/>
      <c r="AC134" s="361"/>
      <c r="AD134" s="365"/>
      <c r="AE134" s="361"/>
      <c r="AF134" s="365"/>
    </row>
    <row r="135" spans="1:32" ht="14.25" customHeight="1">
      <c r="A135" s="107" t="s">
        <v>372</v>
      </c>
      <c r="B135" s="94" t="str">
        <f t="shared" si="4"/>
        <v>m</v>
      </c>
      <c r="C135" s="362">
        <v>101.62</v>
      </c>
      <c r="D135" s="593"/>
      <c r="E135" s="477">
        <v>101.62</v>
      </c>
      <c r="F135" s="595"/>
      <c r="G135" s="362"/>
      <c r="H135" s="593"/>
      <c r="I135" s="362"/>
      <c r="J135" s="593"/>
      <c r="K135" s="362"/>
      <c r="L135" s="593"/>
      <c r="M135" s="362"/>
      <c r="N135" s="593"/>
      <c r="O135" s="362"/>
      <c r="P135" s="593"/>
      <c r="Q135" s="362"/>
      <c r="R135" s="593"/>
      <c r="S135" s="362"/>
      <c r="T135" s="593"/>
      <c r="U135" s="362"/>
      <c r="V135" s="593"/>
      <c r="W135" s="362"/>
      <c r="X135" s="593"/>
      <c r="Y135" s="362"/>
      <c r="Z135" s="593"/>
      <c r="AA135" s="362"/>
      <c r="AB135" s="593"/>
      <c r="AC135" s="362"/>
      <c r="AD135" s="593"/>
      <c r="AE135" s="362"/>
      <c r="AF135" s="593"/>
    </row>
    <row r="136" spans="1:32" ht="14.25" customHeight="1">
      <c r="A136" s="107" t="s">
        <v>373</v>
      </c>
      <c r="B136" s="94" t="str">
        <f t="shared" si="4"/>
        <v>m</v>
      </c>
      <c r="C136" s="361">
        <v>83.49</v>
      </c>
      <c r="D136" s="365"/>
      <c r="E136" s="479">
        <v>83.49</v>
      </c>
      <c r="F136" s="483"/>
      <c r="G136" s="361"/>
      <c r="H136" s="365"/>
      <c r="I136" s="361"/>
      <c r="J136" s="365"/>
      <c r="K136" s="361"/>
      <c r="L136" s="365"/>
      <c r="M136" s="361"/>
      <c r="N136" s="365"/>
      <c r="O136" s="361"/>
      <c r="P136" s="365"/>
      <c r="Q136" s="361"/>
      <c r="R136" s="365"/>
      <c r="S136" s="361"/>
      <c r="T136" s="365"/>
      <c r="U136" s="361"/>
      <c r="V136" s="365"/>
      <c r="W136" s="361"/>
      <c r="X136" s="365"/>
      <c r="Y136" s="361"/>
      <c r="Z136" s="365"/>
      <c r="AA136" s="361"/>
      <c r="AB136" s="365"/>
      <c r="AC136" s="361"/>
      <c r="AD136" s="365"/>
      <c r="AE136" s="361"/>
      <c r="AF136" s="365"/>
    </row>
    <row r="137" spans="1:32" ht="14.25" customHeight="1" thickBot="1">
      <c r="A137" s="52" t="s">
        <v>374</v>
      </c>
      <c r="B137" s="94" t="str">
        <f t="shared" si="4"/>
        <v>m</v>
      </c>
      <c r="C137" s="363">
        <v>106.03</v>
      </c>
      <c r="D137" s="366"/>
      <c r="E137" s="481">
        <v>106.03</v>
      </c>
      <c r="F137" s="484"/>
      <c r="G137" s="363"/>
      <c r="H137" s="366"/>
      <c r="I137" s="363"/>
      <c r="J137" s="366"/>
      <c r="K137" s="363"/>
      <c r="L137" s="366"/>
      <c r="M137" s="363"/>
      <c r="N137" s="366"/>
      <c r="O137" s="363"/>
      <c r="P137" s="366"/>
      <c r="Q137" s="363"/>
      <c r="R137" s="366"/>
      <c r="S137" s="363"/>
      <c r="T137" s="366"/>
      <c r="U137" s="363"/>
      <c r="V137" s="366"/>
      <c r="W137" s="363"/>
      <c r="X137" s="366"/>
      <c r="Y137" s="363"/>
      <c r="Z137" s="366"/>
      <c r="AA137" s="363"/>
      <c r="AB137" s="366"/>
      <c r="AC137" s="363"/>
      <c r="AD137" s="366"/>
      <c r="AE137" s="363"/>
      <c r="AF137" s="366"/>
    </row>
    <row r="138" spans="1:32" ht="16.5" thickBot="1">
      <c r="A138" s="63" t="s">
        <v>322</v>
      </c>
      <c r="B138" s="44"/>
      <c r="C138" s="43"/>
      <c r="D138" s="45"/>
      <c r="E138" s="43"/>
      <c r="F138" s="45"/>
      <c r="G138" s="43"/>
      <c r="H138" s="45"/>
      <c r="I138" s="43"/>
      <c r="J138" s="45"/>
      <c r="K138" s="43"/>
      <c r="L138" s="45"/>
      <c r="M138" s="43"/>
      <c r="N138" s="45"/>
      <c r="O138" s="43"/>
      <c r="P138" s="45"/>
      <c r="Q138" s="43"/>
      <c r="R138" s="45"/>
      <c r="S138" s="43"/>
      <c r="T138" s="45"/>
      <c r="U138" s="43"/>
      <c r="V138" s="45"/>
      <c r="W138" s="43"/>
      <c r="X138" s="45"/>
      <c r="Y138" s="43"/>
      <c r="Z138" s="45"/>
      <c r="AA138" s="43"/>
      <c r="AB138" s="45"/>
      <c r="AC138" s="43"/>
      <c r="AD138" s="45"/>
      <c r="AE138" s="43"/>
      <c r="AF138" s="45"/>
    </row>
    <row r="139" spans="1:32" ht="13.5" thickBot="1">
      <c r="A139" s="127" t="s">
        <v>96</v>
      </c>
      <c r="B139" s="134" t="s">
        <v>87</v>
      </c>
      <c r="C139" s="137"/>
      <c r="D139" s="219" t="s">
        <v>106</v>
      </c>
      <c r="E139" s="137"/>
      <c r="F139" s="219" t="s">
        <v>106</v>
      </c>
      <c r="G139" s="137"/>
      <c r="H139" s="219" t="s">
        <v>106</v>
      </c>
      <c r="I139" s="137"/>
      <c r="J139" s="219" t="s">
        <v>106</v>
      </c>
      <c r="K139" s="137"/>
      <c r="L139" s="219" t="s">
        <v>106</v>
      </c>
      <c r="M139" s="137"/>
      <c r="N139" s="219" t="s">
        <v>106</v>
      </c>
      <c r="O139" s="137"/>
      <c r="P139" s="219" t="s">
        <v>106</v>
      </c>
      <c r="Q139" s="137"/>
      <c r="R139" s="219" t="s">
        <v>106</v>
      </c>
      <c r="S139" s="137"/>
      <c r="T139" s="219" t="s">
        <v>106</v>
      </c>
      <c r="U139" s="137"/>
      <c r="V139" s="219" t="s">
        <v>106</v>
      </c>
      <c r="W139" s="137"/>
      <c r="X139" s="219" t="s">
        <v>106</v>
      </c>
      <c r="Y139" s="137"/>
      <c r="Z139" s="219" t="s">
        <v>106</v>
      </c>
      <c r="AA139" s="137"/>
      <c r="AB139" s="219" t="s">
        <v>106</v>
      </c>
      <c r="AC139" s="137"/>
      <c r="AD139" s="219" t="s">
        <v>106</v>
      </c>
      <c r="AE139" s="137"/>
      <c r="AF139" s="219" t="s">
        <v>106</v>
      </c>
    </row>
    <row r="140" spans="1:32" ht="14.25" customHeight="1">
      <c r="A140" s="107" t="s">
        <v>323</v>
      </c>
      <c r="B140" s="94" t="str">
        <f>IF(Metric,"m3","C.Y")</f>
        <v>m3</v>
      </c>
      <c r="C140" s="52"/>
      <c r="D140" s="487">
        <v>15.75</v>
      </c>
      <c r="E140" s="464"/>
      <c r="F140" s="487">
        <v>15.75</v>
      </c>
      <c r="G140" s="464"/>
      <c r="H140" s="487"/>
      <c r="I140" s="464"/>
      <c r="J140" s="487"/>
      <c r="K140" s="464"/>
      <c r="L140" s="487"/>
      <c r="M140" s="464"/>
      <c r="N140" s="401"/>
      <c r="O140" s="464"/>
      <c r="P140" s="401"/>
      <c r="Q140" s="464"/>
      <c r="R140" s="401"/>
      <c r="S140" s="464"/>
      <c r="T140" s="401"/>
      <c r="U140" s="464"/>
      <c r="V140" s="401"/>
      <c r="W140" s="464"/>
      <c r="X140" s="401"/>
      <c r="Y140" s="464"/>
      <c r="Z140" s="401"/>
      <c r="AA140" s="464"/>
      <c r="AB140" s="401"/>
      <c r="AC140" s="464"/>
      <c r="AD140" s="401"/>
      <c r="AE140" s="464"/>
      <c r="AF140" s="401"/>
    </row>
    <row r="141" spans="1:32" ht="14.25" customHeight="1" thickBot="1">
      <c r="A141" s="131" t="s">
        <v>324</v>
      </c>
      <c r="B141" s="94" t="str">
        <f>IF(Metric,"m3","C.Y")</f>
        <v>m3</v>
      </c>
      <c r="C141" s="216"/>
      <c r="D141" s="488">
        <v>8.4</v>
      </c>
      <c r="E141" s="465"/>
      <c r="F141" s="488">
        <v>8.4</v>
      </c>
      <c r="G141" s="465"/>
      <c r="H141" s="488"/>
      <c r="I141" s="465"/>
      <c r="J141" s="488"/>
      <c r="K141" s="465"/>
      <c r="L141" s="488"/>
      <c r="M141" s="465"/>
      <c r="N141" s="402"/>
      <c r="O141" s="465"/>
      <c r="P141" s="402"/>
      <c r="Q141" s="465"/>
      <c r="R141" s="402"/>
      <c r="S141" s="465"/>
      <c r="T141" s="402"/>
      <c r="U141" s="465"/>
      <c r="V141" s="402"/>
      <c r="W141" s="465"/>
      <c r="X141" s="402"/>
      <c r="Y141" s="465"/>
      <c r="Z141" s="402"/>
      <c r="AA141" s="465"/>
      <c r="AB141" s="402"/>
      <c r="AC141" s="465"/>
      <c r="AD141" s="402"/>
      <c r="AE141" s="465"/>
      <c r="AF141" s="402"/>
    </row>
    <row r="142" spans="1:32" ht="16.5" thickBot="1">
      <c r="A142" s="63" t="s">
        <v>122</v>
      </c>
      <c r="B142" s="44"/>
      <c r="C142" s="43"/>
      <c r="D142" s="45"/>
      <c r="E142" s="43"/>
      <c r="F142" s="45"/>
      <c r="G142" s="43"/>
      <c r="H142" s="45"/>
      <c r="I142" s="43"/>
      <c r="J142" s="45"/>
      <c r="K142" s="43"/>
      <c r="L142" s="45"/>
      <c r="M142" s="43"/>
      <c r="N142" s="45"/>
      <c r="O142" s="43"/>
      <c r="P142" s="45"/>
      <c r="Q142" s="43"/>
      <c r="R142" s="45"/>
      <c r="S142" s="43"/>
      <c r="T142" s="45"/>
      <c r="U142" s="43"/>
      <c r="V142" s="45"/>
      <c r="W142" s="43"/>
      <c r="X142" s="45"/>
      <c r="Y142" s="43"/>
      <c r="Z142" s="45"/>
      <c r="AA142" s="43"/>
      <c r="AB142" s="45"/>
      <c r="AC142" s="43"/>
      <c r="AD142" s="45"/>
      <c r="AE142" s="43"/>
      <c r="AF142" s="45"/>
    </row>
    <row r="143" spans="1:32" ht="13.5" thickBot="1">
      <c r="A143" s="127" t="s">
        <v>96</v>
      </c>
      <c r="B143" s="134" t="s">
        <v>87</v>
      </c>
      <c r="C143" s="137"/>
      <c r="D143" s="138" t="s">
        <v>111</v>
      </c>
      <c r="E143" s="137"/>
      <c r="F143" s="138" t="s">
        <v>111</v>
      </c>
      <c r="G143" s="137"/>
      <c r="H143" s="138" t="s">
        <v>111</v>
      </c>
      <c r="I143" s="137"/>
      <c r="J143" s="138" t="s">
        <v>111</v>
      </c>
      <c r="K143" s="137"/>
      <c r="L143" s="138" t="s">
        <v>111</v>
      </c>
      <c r="M143" s="137"/>
      <c r="N143" s="138" t="s">
        <v>111</v>
      </c>
      <c r="O143" s="137"/>
      <c r="P143" s="138" t="s">
        <v>111</v>
      </c>
      <c r="Q143" s="137"/>
      <c r="R143" s="138" t="s">
        <v>111</v>
      </c>
      <c r="S143" s="137"/>
      <c r="T143" s="138" t="s">
        <v>111</v>
      </c>
      <c r="U143" s="137"/>
      <c r="V143" s="138" t="s">
        <v>111</v>
      </c>
      <c r="W143" s="137"/>
      <c r="X143" s="138" t="s">
        <v>111</v>
      </c>
      <c r="Y143" s="137"/>
      <c r="Z143" s="138" t="s">
        <v>111</v>
      </c>
      <c r="AA143" s="137"/>
      <c r="AB143" s="138" t="s">
        <v>111</v>
      </c>
      <c r="AC143" s="137"/>
      <c r="AD143" s="138" t="s">
        <v>111</v>
      </c>
      <c r="AE143" s="137"/>
      <c r="AF143" s="138" t="s">
        <v>111</v>
      </c>
    </row>
    <row r="144" spans="1:32" ht="14.25" customHeight="1" thickBot="1">
      <c r="A144" s="107" t="s">
        <v>123</v>
      </c>
      <c r="B144" s="128" t="str">
        <f>IF(Metric,"m3","C.Y")</f>
        <v>m3</v>
      </c>
      <c r="C144" s="52"/>
      <c r="D144" s="364"/>
      <c r="E144" s="52"/>
      <c r="F144" s="364"/>
      <c r="G144" s="52"/>
      <c r="H144" s="364"/>
      <c r="I144" s="52"/>
      <c r="J144" s="364"/>
      <c r="K144" s="52"/>
      <c r="L144" s="364"/>
      <c r="M144" s="52"/>
      <c r="N144" s="364"/>
      <c r="O144" s="52"/>
      <c r="P144" s="364"/>
      <c r="Q144" s="52"/>
      <c r="R144" s="364"/>
      <c r="S144" s="52"/>
      <c r="T144" s="364"/>
      <c r="U144" s="52"/>
      <c r="V144" s="364"/>
      <c r="W144" s="52"/>
      <c r="X144" s="364"/>
      <c r="Y144" s="52"/>
      <c r="Z144" s="364"/>
      <c r="AA144" s="52"/>
      <c r="AB144" s="364"/>
      <c r="AC144" s="52"/>
      <c r="AD144" s="364"/>
      <c r="AE144" s="52"/>
      <c r="AF144" s="364"/>
    </row>
    <row r="145" spans="1:32" ht="16.5" thickBot="1">
      <c r="A145" s="63" t="s">
        <v>124</v>
      </c>
      <c r="B145" s="44"/>
      <c r="C145" s="137"/>
      <c r="D145" s="219" t="s">
        <v>106</v>
      </c>
      <c r="E145" s="137"/>
      <c r="F145" s="219" t="s">
        <v>106</v>
      </c>
      <c r="G145" s="137"/>
      <c r="H145" s="219" t="s">
        <v>106</v>
      </c>
      <c r="I145" s="137"/>
      <c r="J145" s="219" t="s">
        <v>106</v>
      </c>
      <c r="K145" s="137"/>
      <c r="L145" s="219" t="s">
        <v>106</v>
      </c>
      <c r="M145" s="137"/>
      <c r="N145" s="219" t="s">
        <v>106</v>
      </c>
      <c r="O145" s="137"/>
      <c r="P145" s="219" t="s">
        <v>106</v>
      </c>
      <c r="Q145" s="137"/>
      <c r="R145" s="219" t="s">
        <v>106</v>
      </c>
      <c r="S145" s="137"/>
      <c r="T145" s="219" t="s">
        <v>106</v>
      </c>
      <c r="U145" s="137"/>
      <c r="V145" s="219" t="s">
        <v>106</v>
      </c>
      <c r="W145" s="137"/>
      <c r="X145" s="219" t="s">
        <v>106</v>
      </c>
      <c r="Y145" s="137"/>
      <c r="Z145" s="219" t="s">
        <v>106</v>
      </c>
      <c r="AA145" s="137"/>
      <c r="AB145" s="219" t="s">
        <v>106</v>
      </c>
      <c r="AC145" s="137"/>
      <c r="AD145" s="219" t="s">
        <v>106</v>
      </c>
      <c r="AE145" s="137"/>
      <c r="AF145" s="219" t="s">
        <v>106</v>
      </c>
    </row>
    <row r="146" spans="1:32" ht="14.25" customHeight="1">
      <c r="A146" s="107" t="s">
        <v>33</v>
      </c>
      <c r="B146" s="128" t="str">
        <f>IF(Metric,"km","mile")</f>
        <v>km</v>
      </c>
      <c r="C146" s="52"/>
      <c r="D146" s="369">
        <v>11000</v>
      </c>
      <c r="E146" s="52"/>
      <c r="F146" s="369">
        <v>11000</v>
      </c>
      <c r="G146" s="52"/>
      <c r="H146" s="369"/>
      <c r="I146" s="52"/>
      <c r="J146" s="369"/>
      <c r="K146" s="52"/>
      <c r="L146" s="369"/>
      <c r="M146" s="52"/>
      <c r="N146" s="369"/>
      <c r="O146" s="52"/>
      <c r="P146" s="369"/>
      <c r="Q146" s="52"/>
      <c r="R146" s="369"/>
      <c r="S146" s="52"/>
      <c r="T146" s="369"/>
      <c r="U146" s="52"/>
      <c r="V146" s="369"/>
      <c r="W146" s="52"/>
      <c r="X146" s="369"/>
      <c r="Y146" s="52"/>
      <c r="Z146" s="369"/>
      <c r="AA146" s="52"/>
      <c r="AB146" s="369"/>
      <c r="AC146" s="52"/>
      <c r="AD146" s="369"/>
      <c r="AE146" s="52"/>
      <c r="AF146" s="369"/>
    </row>
    <row r="147" spans="1:32" ht="14.25" customHeight="1">
      <c r="A147" s="52" t="s">
        <v>34</v>
      </c>
      <c r="B147" s="94" t="str">
        <f>IF(Metric,"km","mile")</f>
        <v>km</v>
      </c>
      <c r="C147" s="52"/>
      <c r="D147" s="371">
        <v>17500</v>
      </c>
      <c r="E147" s="52"/>
      <c r="F147" s="371">
        <v>17500</v>
      </c>
      <c r="G147" s="52"/>
      <c r="H147" s="371"/>
      <c r="I147" s="52"/>
      <c r="J147" s="371"/>
      <c r="K147" s="52"/>
      <c r="L147" s="371"/>
      <c r="M147" s="52"/>
      <c r="N147" s="371"/>
      <c r="O147" s="52"/>
      <c r="P147" s="371"/>
      <c r="Q147" s="52"/>
      <c r="R147" s="371"/>
      <c r="S147" s="52"/>
      <c r="T147" s="371"/>
      <c r="U147" s="52"/>
      <c r="V147" s="371"/>
      <c r="W147" s="52"/>
      <c r="X147" s="371"/>
      <c r="Y147" s="52"/>
      <c r="Z147" s="371"/>
      <c r="AA147" s="52"/>
      <c r="AB147" s="371"/>
      <c r="AC147" s="52"/>
      <c r="AD147" s="371"/>
      <c r="AE147" s="52"/>
      <c r="AF147" s="371"/>
    </row>
    <row r="148" spans="1:32" ht="14.25" customHeight="1" thickBot="1">
      <c r="A148" s="52" t="s">
        <v>325</v>
      </c>
      <c r="B148" s="94" t="s">
        <v>125</v>
      </c>
      <c r="C148" s="216"/>
      <c r="D148" s="372">
        <v>27500</v>
      </c>
      <c r="E148" s="216"/>
      <c r="F148" s="372">
        <v>27500</v>
      </c>
      <c r="G148" s="216"/>
      <c r="H148" s="372"/>
      <c r="I148" s="216"/>
      <c r="J148" s="372"/>
      <c r="K148" s="216"/>
      <c r="L148" s="372"/>
      <c r="M148" s="216"/>
      <c r="N148" s="372"/>
      <c r="O148" s="216"/>
      <c r="P148" s="372"/>
      <c r="Q148" s="216"/>
      <c r="R148" s="372"/>
      <c r="S148" s="216"/>
      <c r="T148" s="372"/>
      <c r="U148" s="216"/>
      <c r="V148" s="372"/>
      <c r="W148" s="216"/>
      <c r="X148" s="372"/>
      <c r="Y148" s="216"/>
      <c r="Z148" s="372"/>
      <c r="AA148" s="216"/>
      <c r="AB148" s="372"/>
      <c r="AC148" s="216"/>
      <c r="AD148" s="372"/>
      <c r="AE148" s="216"/>
      <c r="AF148" s="372"/>
    </row>
    <row r="149" spans="1:32">
      <c r="A149" s="100"/>
      <c r="B149" s="35"/>
      <c r="C149" s="100"/>
      <c r="D149" s="38"/>
      <c r="E149" s="100"/>
      <c r="F149" s="38"/>
      <c r="G149" s="100"/>
      <c r="H149" s="38"/>
      <c r="I149" s="100"/>
      <c r="J149" s="38"/>
      <c r="K149" s="100"/>
      <c r="L149" s="38"/>
      <c r="M149" s="100"/>
      <c r="N149" s="38"/>
      <c r="O149" s="100"/>
      <c r="P149" s="38"/>
      <c r="Q149" s="100"/>
      <c r="R149" s="38"/>
      <c r="S149" s="100"/>
      <c r="T149" s="38"/>
      <c r="U149" s="100"/>
      <c r="V149" s="38"/>
      <c r="W149" s="100"/>
      <c r="X149" s="38"/>
      <c r="Y149" s="100"/>
      <c r="Z149" s="38"/>
      <c r="AA149" s="100"/>
      <c r="AB149" s="38"/>
      <c r="AC149" s="100"/>
      <c r="AD149" s="38"/>
      <c r="AE149" s="100"/>
      <c r="AF149" s="38"/>
    </row>
    <row r="150" spans="1:32" ht="15.75" thickBot="1">
      <c r="A150" s="125" t="s">
        <v>79</v>
      </c>
      <c r="B150" s="126"/>
      <c r="C150" s="140"/>
      <c r="D150" s="38"/>
      <c r="E150" s="140"/>
      <c r="F150" s="38"/>
      <c r="G150" s="140"/>
      <c r="H150" s="38"/>
      <c r="I150" s="140"/>
      <c r="J150" s="38"/>
      <c r="K150" s="140"/>
      <c r="L150" s="38"/>
      <c r="M150" s="140"/>
      <c r="N150" s="38"/>
      <c r="O150" s="140"/>
      <c r="P150" s="38"/>
      <c r="Q150" s="140"/>
      <c r="R150" s="38"/>
      <c r="S150" s="140"/>
      <c r="T150" s="38"/>
      <c r="U150" s="140"/>
      <c r="V150" s="38"/>
      <c r="W150" s="140"/>
      <c r="X150" s="38"/>
      <c r="Y150" s="140"/>
      <c r="Z150" s="38"/>
      <c r="AA150" s="140"/>
      <c r="AB150" s="38"/>
      <c r="AC150" s="140"/>
      <c r="AD150" s="38"/>
      <c r="AE150" s="140"/>
      <c r="AF150" s="38"/>
    </row>
    <row r="151" spans="1:32" ht="26.25" customHeight="1">
      <c r="A151" s="649" t="s">
        <v>202</v>
      </c>
      <c r="B151" s="650"/>
      <c r="C151" s="643"/>
      <c r="D151" s="644"/>
      <c r="E151" s="643"/>
      <c r="F151" s="644"/>
      <c r="G151" s="643"/>
      <c r="H151" s="644"/>
      <c r="I151" s="643"/>
      <c r="J151" s="644"/>
      <c r="K151" s="643"/>
      <c r="L151" s="644"/>
      <c r="M151" s="641"/>
      <c r="N151" s="642"/>
      <c r="O151" s="641"/>
      <c r="P151" s="642"/>
      <c r="Q151" s="641"/>
      <c r="R151" s="642"/>
      <c r="S151" s="641"/>
      <c r="T151" s="642"/>
      <c r="U151" s="641"/>
      <c r="V151" s="642"/>
      <c r="W151" s="641"/>
      <c r="X151" s="642"/>
      <c r="Y151" s="641"/>
      <c r="Z151" s="642"/>
      <c r="AA151" s="641"/>
      <c r="AB151" s="642"/>
      <c r="AC151" s="641"/>
      <c r="AD151" s="642"/>
      <c r="AE151" s="641"/>
      <c r="AF151" s="642"/>
    </row>
    <row r="152" spans="1:32" ht="26.25" customHeight="1">
      <c r="A152" s="649" t="s">
        <v>203</v>
      </c>
      <c r="B152" s="650"/>
      <c r="C152" s="651"/>
      <c r="D152" s="652"/>
      <c r="E152" s="651"/>
      <c r="F152" s="652"/>
      <c r="G152" s="651"/>
      <c r="H152" s="652"/>
      <c r="I152" s="651"/>
      <c r="J152" s="652"/>
      <c r="K152" s="651"/>
      <c r="L152" s="652"/>
      <c r="M152" s="637"/>
      <c r="N152" s="638"/>
      <c r="O152" s="637"/>
      <c r="P152" s="638"/>
      <c r="Q152" s="637"/>
      <c r="R152" s="638"/>
      <c r="S152" s="637"/>
      <c r="T152" s="638"/>
      <c r="U152" s="637"/>
      <c r="V152" s="638"/>
      <c r="W152" s="637"/>
      <c r="X152" s="638"/>
      <c r="Y152" s="637"/>
      <c r="Z152" s="638"/>
      <c r="AA152" s="637"/>
      <c r="AB152" s="638"/>
      <c r="AC152" s="637"/>
      <c r="AD152" s="638"/>
      <c r="AE152" s="637"/>
      <c r="AF152" s="638"/>
    </row>
    <row r="153" spans="1:32" ht="26.25" customHeight="1" thickBot="1">
      <c r="A153" s="653" t="s">
        <v>204</v>
      </c>
      <c r="B153" s="654"/>
      <c r="C153" s="647"/>
      <c r="D153" s="648"/>
      <c r="E153" s="647"/>
      <c r="F153" s="648"/>
      <c r="G153" s="647"/>
      <c r="H153" s="648"/>
      <c r="I153" s="647"/>
      <c r="J153" s="648"/>
      <c r="K153" s="647"/>
      <c r="L153" s="648"/>
      <c r="M153" s="645"/>
      <c r="N153" s="646"/>
      <c r="O153" s="645"/>
      <c r="P153" s="646"/>
      <c r="Q153" s="645"/>
      <c r="R153" s="646"/>
      <c r="S153" s="645"/>
      <c r="T153" s="646"/>
      <c r="U153" s="645"/>
      <c r="V153" s="646"/>
      <c r="W153" s="645"/>
      <c r="X153" s="646"/>
      <c r="Y153" s="645"/>
      <c r="Z153" s="646"/>
      <c r="AA153" s="645"/>
      <c r="AB153" s="646"/>
      <c r="AC153" s="645"/>
      <c r="AD153" s="646"/>
      <c r="AE153" s="645"/>
      <c r="AF153" s="646"/>
    </row>
    <row r="154" spans="1:32" ht="26.25" customHeight="1" thickBot="1">
      <c r="A154" s="112" t="s">
        <v>39</v>
      </c>
      <c r="B154" s="114"/>
      <c r="C154" s="113"/>
      <c r="D154" s="114"/>
      <c r="E154" s="113"/>
      <c r="F154" s="114"/>
      <c r="G154" s="113"/>
      <c r="H154" s="114"/>
      <c r="I154" s="113"/>
      <c r="J154" s="114"/>
      <c r="K154" s="113"/>
      <c r="L154" s="114"/>
      <c r="M154" s="113"/>
      <c r="N154" s="114"/>
      <c r="O154" s="113"/>
      <c r="P154" s="114"/>
      <c r="Q154" s="113"/>
      <c r="R154" s="114"/>
      <c r="S154" s="113"/>
      <c r="T154" s="114"/>
      <c r="U154" s="113"/>
      <c r="V154" s="114"/>
      <c r="W154" s="113"/>
      <c r="X154" s="114"/>
      <c r="Y154" s="113"/>
      <c r="Z154" s="114"/>
      <c r="AA154" s="113"/>
      <c r="AB154" s="114"/>
      <c r="AC154" s="113"/>
      <c r="AD154" s="114"/>
      <c r="AE154" s="113"/>
      <c r="AF154" s="114"/>
    </row>
    <row r="155" spans="1:32" ht="13.5" thickBot="1">
      <c r="A155" s="127" t="s">
        <v>96</v>
      </c>
      <c r="B155" s="134" t="s">
        <v>87</v>
      </c>
      <c r="C155" s="137" t="s">
        <v>110</v>
      </c>
      <c r="D155" s="138" t="s">
        <v>111</v>
      </c>
      <c r="E155" s="137" t="s">
        <v>110</v>
      </c>
      <c r="F155" s="138" t="s">
        <v>111</v>
      </c>
      <c r="G155" s="137" t="s">
        <v>110</v>
      </c>
      <c r="H155" s="138" t="s">
        <v>111</v>
      </c>
      <c r="I155" s="137" t="s">
        <v>110</v>
      </c>
      <c r="J155" s="138" t="s">
        <v>111</v>
      </c>
      <c r="K155" s="137" t="s">
        <v>110</v>
      </c>
      <c r="L155" s="138" t="s">
        <v>111</v>
      </c>
      <c r="M155" s="137" t="s">
        <v>110</v>
      </c>
      <c r="N155" s="138" t="s">
        <v>111</v>
      </c>
      <c r="O155" s="137" t="s">
        <v>110</v>
      </c>
      <c r="P155" s="138" t="s">
        <v>111</v>
      </c>
      <c r="Q155" s="137" t="s">
        <v>110</v>
      </c>
      <c r="R155" s="138" t="s">
        <v>111</v>
      </c>
      <c r="S155" s="137" t="s">
        <v>110</v>
      </c>
      <c r="T155" s="138" t="s">
        <v>111</v>
      </c>
      <c r="U155" s="137" t="s">
        <v>110</v>
      </c>
      <c r="V155" s="138" t="s">
        <v>111</v>
      </c>
      <c r="W155" s="137" t="s">
        <v>110</v>
      </c>
      <c r="X155" s="138" t="s">
        <v>111</v>
      </c>
      <c r="Y155" s="137" t="s">
        <v>110</v>
      </c>
      <c r="Z155" s="138" t="s">
        <v>111</v>
      </c>
      <c r="AA155" s="137" t="s">
        <v>110</v>
      </c>
      <c r="AB155" s="138" t="s">
        <v>111</v>
      </c>
      <c r="AC155" s="137" t="s">
        <v>110</v>
      </c>
      <c r="AD155" s="138" t="s">
        <v>111</v>
      </c>
      <c r="AE155" s="137" t="s">
        <v>110</v>
      </c>
      <c r="AF155" s="138" t="s">
        <v>111</v>
      </c>
    </row>
    <row r="156" spans="1:32" ht="16.5" thickBot="1">
      <c r="A156" s="63" t="s">
        <v>126</v>
      </c>
      <c r="B156" s="44"/>
      <c r="C156" s="43"/>
      <c r="D156" s="45"/>
      <c r="E156" s="43"/>
      <c r="F156" s="45"/>
      <c r="G156" s="43"/>
      <c r="H156" s="45"/>
      <c r="I156" s="43"/>
      <c r="J156" s="45"/>
      <c r="K156" s="43"/>
      <c r="L156" s="45"/>
      <c r="M156" s="43"/>
      <c r="N156" s="45"/>
      <c r="O156" s="43"/>
      <c r="P156" s="45"/>
      <c r="Q156" s="43"/>
      <c r="R156" s="45"/>
      <c r="S156" s="43"/>
      <c r="T156" s="45"/>
      <c r="U156" s="43"/>
      <c r="V156" s="45"/>
      <c r="W156" s="43"/>
      <c r="X156" s="45"/>
      <c r="Y156" s="43"/>
      <c r="Z156" s="45"/>
      <c r="AA156" s="43"/>
      <c r="AB156" s="45"/>
      <c r="AC156" s="43"/>
      <c r="AD156" s="45"/>
      <c r="AE156" s="43"/>
      <c r="AF156" s="45"/>
    </row>
    <row r="157" spans="1:32" ht="14.25" customHeight="1">
      <c r="A157" s="131" t="str">
        <f>CONCATENATE("Rip-Rap 3/8 to 1/4 " &amp; IF(Metric,"m3", "C.Y.") &amp; " pieces, grouted")</f>
        <v>Rip-Rap 3/8 to 1/4 m3 pieces, grouted</v>
      </c>
      <c r="B157" s="94" t="str">
        <f t="shared" ref="B157:B163" si="5">IF(Metric,"m2","S.Y.")</f>
        <v>m2</v>
      </c>
      <c r="C157" s="360">
        <v>25.1</v>
      </c>
      <c r="D157" s="364">
        <v>2</v>
      </c>
      <c r="E157" s="475">
        <v>25.1</v>
      </c>
      <c r="F157" s="482">
        <v>2</v>
      </c>
      <c r="G157" s="360"/>
      <c r="H157" s="364"/>
      <c r="I157" s="360"/>
      <c r="J157" s="364"/>
      <c r="K157" s="360"/>
      <c r="L157" s="364"/>
      <c r="M157" s="360"/>
      <c r="N157" s="364"/>
      <c r="O157" s="360"/>
      <c r="P157" s="364"/>
      <c r="Q157" s="360"/>
      <c r="R157" s="364"/>
      <c r="S157" s="360"/>
      <c r="T157" s="364"/>
      <c r="U157" s="360"/>
      <c r="V157" s="364"/>
      <c r="W157" s="360"/>
      <c r="X157" s="364"/>
      <c r="Y157" s="360"/>
      <c r="Z157" s="364"/>
      <c r="AA157" s="360"/>
      <c r="AB157" s="364"/>
      <c r="AC157" s="360"/>
      <c r="AD157" s="364"/>
      <c r="AE157" s="360"/>
      <c r="AF157" s="364"/>
    </row>
    <row r="158" spans="1:32" ht="14.25" customHeight="1">
      <c r="A158" s="131" t="str">
        <f>CONCATENATE("Rip-Rap " &amp; IF(Metric,"450 mm", "18 in") &amp; " min thick, no grout")</f>
        <v>Rip-Rap 450 mm min thick, no grout</v>
      </c>
      <c r="B158" s="94" t="str">
        <f t="shared" si="5"/>
        <v>m2</v>
      </c>
      <c r="C158" s="361">
        <v>45.18</v>
      </c>
      <c r="D158" s="365">
        <v>2</v>
      </c>
      <c r="E158" s="479">
        <v>45.18</v>
      </c>
      <c r="F158" s="483">
        <v>2</v>
      </c>
      <c r="G158" s="361"/>
      <c r="H158" s="365"/>
      <c r="I158" s="361"/>
      <c r="J158" s="365"/>
      <c r="K158" s="361"/>
      <c r="L158" s="365"/>
      <c r="M158" s="361"/>
      <c r="N158" s="365"/>
      <c r="O158" s="361"/>
      <c r="P158" s="365"/>
      <c r="Q158" s="361"/>
      <c r="R158" s="365"/>
      <c r="S158" s="361"/>
      <c r="T158" s="365"/>
      <c r="U158" s="361"/>
      <c r="V158" s="365"/>
      <c r="W158" s="361"/>
      <c r="X158" s="365"/>
      <c r="Y158" s="361"/>
      <c r="Z158" s="365"/>
      <c r="AA158" s="361"/>
      <c r="AB158" s="365"/>
      <c r="AC158" s="361"/>
      <c r="AD158" s="365"/>
      <c r="AE158" s="361"/>
      <c r="AF158" s="365"/>
    </row>
    <row r="159" spans="1:32" ht="14.25" customHeight="1">
      <c r="A159" s="131" t="str">
        <f>IF(Metric,"Gabions, 150 mm deep","Gabions,  6 in deep")</f>
        <v>Gabions, 150 mm deep</v>
      </c>
      <c r="B159" s="94" t="str">
        <f t="shared" si="5"/>
        <v>m2</v>
      </c>
      <c r="C159" s="361">
        <v>26.25</v>
      </c>
      <c r="D159" s="365">
        <v>0.15</v>
      </c>
      <c r="E159" s="479">
        <v>26.25</v>
      </c>
      <c r="F159" s="483">
        <v>0.15</v>
      </c>
      <c r="G159" s="361"/>
      <c r="H159" s="365"/>
      <c r="I159" s="361"/>
      <c r="J159" s="365"/>
      <c r="K159" s="361"/>
      <c r="L159" s="365"/>
      <c r="M159" s="361"/>
      <c r="N159" s="365"/>
      <c r="O159" s="361"/>
      <c r="P159" s="365"/>
      <c r="Q159" s="361"/>
      <c r="R159" s="365"/>
      <c r="S159" s="361"/>
      <c r="T159" s="365"/>
      <c r="U159" s="361"/>
      <c r="V159" s="365"/>
      <c r="W159" s="361"/>
      <c r="X159" s="365"/>
      <c r="Y159" s="361"/>
      <c r="Z159" s="365"/>
      <c r="AA159" s="361"/>
      <c r="AB159" s="365"/>
      <c r="AC159" s="361"/>
      <c r="AD159" s="365"/>
      <c r="AE159" s="361"/>
      <c r="AF159" s="365"/>
    </row>
    <row r="160" spans="1:32" ht="14.25" customHeight="1">
      <c r="A160" s="131" t="str">
        <f>IF(Metric,"Gabions, 230 mm deep","Gabions,  9 in deep")</f>
        <v>Gabions, 230 mm deep</v>
      </c>
      <c r="B160" s="94" t="str">
        <f t="shared" si="5"/>
        <v>m2</v>
      </c>
      <c r="C160" s="361">
        <v>41.1</v>
      </c>
      <c r="D160" s="365">
        <v>0.15</v>
      </c>
      <c r="E160" s="479">
        <v>41.1</v>
      </c>
      <c r="F160" s="483">
        <v>0.15</v>
      </c>
      <c r="G160" s="361"/>
      <c r="H160" s="365"/>
      <c r="I160" s="361"/>
      <c r="J160" s="365"/>
      <c r="K160" s="361"/>
      <c r="L160" s="365"/>
      <c r="M160" s="361"/>
      <c r="N160" s="365"/>
      <c r="O160" s="361"/>
      <c r="P160" s="365"/>
      <c r="Q160" s="361"/>
      <c r="R160" s="365"/>
      <c r="S160" s="361"/>
      <c r="T160" s="365"/>
      <c r="U160" s="361"/>
      <c r="V160" s="365"/>
      <c r="W160" s="361"/>
      <c r="X160" s="365"/>
      <c r="Y160" s="361"/>
      <c r="Z160" s="365"/>
      <c r="AA160" s="361"/>
      <c r="AB160" s="365"/>
      <c r="AC160" s="361"/>
      <c r="AD160" s="365"/>
      <c r="AE160" s="361"/>
      <c r="AF160" s="365"/>
    </row>
    <row r="161" spans="1:32" ht="14.25" customHeight="1">
      <c r="A161" s="131" t="str">
        <f>IF(Metric,"Gabions, 300 mm deep","Gabions,  12 in deep")</f>
        <v>Gabions, 300 mm deep</v>
      </c>
      <c r="B161" s="94" t="str">
        <f t="shared" si="5"/>
        <v>m2</v>
      </c>
      <c r="C161" s="361">
        <v>44.69</v>
      </c>
      <c r="D161" s="365">
        <v>0.18</v>
      </c>
      <c r="E161" s="479">
        <v>44.69</v>
      </c>
      <c r="F161" s="483">
        <v>0.18</v>
      </c>
      <c r="G161" s="361"/>
      <c r="H161" s="365"/>
      <c r="I161" s="361"/>
      <c r="J161" s="365"/>
      <c r="K161" s="361"/>
      <c r="L161" s="365"/>
      <c r="M161" s="361"/>
      <c r="N161" s="365"/>
      <c r="O161" s="361"/>
      <c r="P161" s="365"/>
      <c r="Q161" s="361"/>
      <c r="R161" s="365"/>
      <c r="S161" s="361"/>
      <c r="T161" s="365"/>
      <c r="U161" s="361"/>
      <c r="V161" s="365"/>
      <c r="W161" s="361"/>
      <c r="X161" s="365"/>
      <c r="Y161" s="361"/>
      <c r="Z161" s="365"/>
      <c r="AA161" s="361"/>
      <c r="AB161" s="365"/>
      <c r="AC161" s="361"/>
      <c r="AD161" s="365"/>
      <c r="AE161" s="361"/>
      <c r="AF161" s="365"/>
    </row>
    <row r="162" spans="1:32" ht="14.25" customHeight="1">
      <c r="A162" s="131" t="str">
        <f>IF(Metric,"Gabions, 450 mm deep","Gabions,  18 in deep")</f>
        <v>Gabions, 450 mm deep</v>
      </c>
      <c r="B162" s="94" t="str">
        <f t="shared" si="5"/>
        <v>m2</v>
      </c>
      <c r="C162" s="361">
        <v>59.11</v>
      </c>
      <c r="D162" s="365">
        <v>0.25</v>
      </c>
      <c r="E162" s="479">
        <v>59.11</v>
      </c>
      <c r="F162" s="483">
        <v>0.25</v>
      </c>
      <c r="G162" s="361"/>
      <c r="H162" s="365"/>
      <c r="I162" s="361"/>
      <c r="J162" s="365"/>
      <c r="K162" s="361"/>
      <c r="L162" s="365"/>
      <c r="M162" s="361"/>
      <c r="N162" s="365"/>
      <c r="O162" s="361"/>
      <c r="P162" s="365"/>
      <c r="Q162" s="361"/>
      <c r="R162" s="365"/>
      <c r="S162" s="361"/>
      <c r="T162" s="365"/>
      <c r="U162" s="361"/>
      <c r="V162" s="365"/>
      <c r="W162" s="361"/>
      <c r="X162" s="365"/>
      <c r="Y162" s="361"/>
      <c r="Z162" s="365"/>
      <c r="AA162" s="361"/>
      <c r="AB162" s="365"/>
      <c r="AC162" s="361"/>
      <c r="AD162" s="365"/>
      <c r="AE162" s="361"/>
      <c r="AF162" s="365"/>
    </row>
    <row r="163" spans="1:32" ht="14.25" customHeight="1" thickBot="1">
      <c r="A163" s="131" t="str">
        <f>IF(Metric,"Gabions, 1 m deep","Gabions,  36 in deep")</f>
        <v>Gabions, 1 m deep</v>
      </c>
      <c r="B163" s="94" t="str">
        <f t="shared" si="5"/>
        <v>m2</v>
      </c>
      <c r="C163" s="363">
        <v>108.94</v>
      </c>
      <c r="D163" s="366">
        <v>0.6</v>
      </c>
      <c r="E163" s="481">
        <v>108.94</v>
      </c>
      <c r="F163" s="484">
        <v>0.6</v>
      </c>
      <c r="G163" s="363"/>
      <c r="H163" s="366"/>
      <c r="I163" s="363"/>
      <c r="J163" s="366"/>
      <c r="K163" s="363"/>
      <c r="L163" s="366"/>
      <c r="M163" s="363"/>
      <c r="N163" s="366"/>
      <c r="O163" s="363"/>
      <c r="P163" s="366"/>
      <c r="Q163" s="363"/>
      <c r="R163" s="366"/>
      <c r="S163" s="363"/>
      <c r="T163" s="366"/>
      <c r="U163" s="363"/>
      <c r="V163" s="366"/>
      <c r="W163" s="363"/>
      <c r="X163" s="366"/>
      <c r="Y163" s="363"/>
      <c r="Z163" s="366"/>
      <c r="AA163" s="363"/>
      <c r="AB163" s="366"/>
      <c r="AC163" s="363"/>
      <c r="AD163" s="366"/>
      <c r="AE163" s="363"/>
      <c r="AF163" s="366"/>
    </row>
    <row r="164" spans="1:32" ht="16.5" thickBot="1">
      <c r="A164" s="63" t="s">
        <v>127</v>
      </c>
      <c r="B164" s="44"/>
      <c r="C164" s="43"/>
      <c r="D164" s="45"/>
      <c r="E164" s="43"/>
      <c r="F164" s="45"/>
      <c r="G164" s="43"/>
      <c r="H164" s="45"/>
      <c r="I164" s="43"/>
      <c r="J164" s="45"/>
      <c r="K164" s="43"/>
      <c r="L164" s="45"/>
      <c r="M164" s="43"/>
      <c r="N164" s="45"/>
      <c r="O164" s="43"/>
      <c r="P164" s="45"/>
      <c r="Q164" s="43"/>
      <c r="R164" s="45"/>
      <c r="S164" s="43"/>
      <c r="T164" s="45"/>
      <c r="U164" s="43"/>
      <c r="V164" s="45"/>
      <c r="W164" s="43"/>
      <c r="X164" s="45"/>
      <c r="Y164" s="43"/>
      <c r="Z164" s="45"/>
      <c r="AA164" s="43"/>
      <c r="AB164" s="45"/>
      <c r="AC164" s="43"/>
      <c r="AD164" s="45"/>
      <c r="AE164" s="43"/>
      <c r="AF164" s="45"/>
    </row>
    <row r="165" spans="1:32" ht="13.5" thickBot="1">
      <c r="A165" s="127" t="s">
        <v>96</v>
      </c>
      <c r="B165" s="134" t="s">
        <v>87</v>
      </c>
      <c r="C165" s="137" t="s">
        <v>110</v>
      </c>
      <c r="D165" s="138" t="s">
        <v>111</v>
      </c>
      <c r="E165" s="137" t="s">
        <v>110</v>
      </c>
      <c r="F165" s="138" t="s">
        <v>111</v>
      </c>
      <c r="G165" s="137" t="s">
        <v>110</v>
      </c>
      <c r="H165" s="138" t="s">
        <v>111</v>
      </c>
      <c r="I165" s="137" t="s">
        <v>110</v>
      </c>
      <c r="J165" s="138" t="s">
        <v>111</v>
      </c>
      <c r="K165" s="137" t="s">
        <v>110</v>
      </c>
      <c r="L165" s="138" t="s">
        <v>111</v>
      </c>
      <c r="M165" s="137" t="s">
        <v>110</v>
      </c>
      <c r="N165" s="138" t="s">
        <v>111</v>
      </c>
      <c r="O165" s="137" t="s">
        <v>110</v>
      </c>
      <c r="P165" s="138" t="s">
        <v>111</v>
      </c>
      <c r="Q165" s="137" t="s">
        <v>110</v>
      </c>
      <c r="R165" s="138" t="s">
        <v>111</v>
      </c>
      <c r="S165" s="137" t="s">
        <v>110</v>
      </c>
      <c r="T165" s="138" t="s">
        <v>111</v>
      </c>
      <c r="U165" s="137" t="s">
        <v>110</v>
      </c>
      <c r="V165" s="138" t="s">
        <v>111</v>
      </c>
      <c r="W165" s="137" t="s">
        <v>110</v>
      </c>
      <c r="X165" s="138" t="s">
        <v>111</v>
      </c>
      <c r="Y165" s="137" t="s">
        <v>110</v>
      </c>
      <c r="Z165" s="138" t="s">
        <v>111</v>
      </c>
      <c r="AA165" s="137" t="s">
        <v>110</v>
      </c>
      <c r="AB165" s="138" t="s">
        <v>111</v>
      </c>
      <c r="AC165" s="137" t="s">
        <v>110</v>
      </c>
      <c r="AD165" s="138" t="s">
        <v>111</v>
      </c>
      <c r="AE165" s="137" t="s">
        <v>110</v>
      </c>
      <c r="AF165" s="138" t="s">
        <v>111</v>
      </c>
    </row>
    <row r="166" spans="1:32" ht="14.25" customHeight="1">
      <c r="A166" s="133" t="s">
        <v>128</v>
      </c>
      <c r="B166" s="96" t="str">
        <f>IF(Metric,"m2","S.F.")</f>
        <v>m2</v>
      </c>
      <c r="C166" s="360">
        <v>0.28999999999999998</v>
      </c>
      <c r="D166" s="364">
        <v>1.25</v>
      </c>
      <c r="E166" s="475">
        <v>0.28999999999999998</v>
      </c>
      <c r="F166" s="482">
        <v>1.25</v>
      </c>
      <c r="G166" s="360"/>
      <c r="H166" s="364"/>
      <c r="I166" s="360"/>
      <c r="J166" s="364"/>
      <c r="K166" s="360"/>
      <c r="L166" s="364"/>
      <c r="M166" s="360"/>
      <c r="N166" s="364"/>
      <c r="O166" s="360"/>
      <c r="P166" s="364"/>
      <c r="Q166" s="360"/>
      <c r="R166" s="364"/>
      <c r="S166" s="360"/>
      <c r="T166" s="364"/>
      <c r="U166" s="360"/>
      <c r="V166" s="364"/>
      <c r="W166" s="360"/>
      <c r="X166" s="364"/>
      <c r="Y166" s="360"/>
      <c r="Z166" s="364"/>
      <c r="AA166" s="360"/>
      <c r="AB166" s="364"/>
      <c r="AC166" s="360"/>
      <c r="AD166" s="364"/>
      <c r="AE166" s="360"/>
      <c r="AF166" s="364"/>
    </row>
    <row r="167" spans="1:32" ht="14.25" customHeight="1" thickBot="1">
      <c r="A167" s="131" t="s">
        <v>129</v>
      </c>
      <c r="B167" s="94" t="str">
        <f>IF(Metric,"m2","S.F.")</f>
        <v>m2</v>
      </c>
      <c r="C167" s="361">
        <v>0.94</v>
      </c>
      <c r="D167" s="365">
        <v>1.25</v>
      </c>
      <c r="E167" s="479">
        <v>0.94</v>
      </c>
      <c r="F167" s="483">
        <v>1.25</v>
      </c>
      <c r="G167" s="361"/>
      <c r="H167" s="365"/>
      <c r="I167" s="361"/>
      <c r="J167" s="365"/>
      <c r="K167" s="361"/>
      <c r="L167" s="365"/>
      <c r="M167" s="361"/>
      <c r="N167" s="365"/>
      <c r="O167" s="361"/>
      <c r="P167" s="365"/>
      <c r="Q167" s="361"/>
      <c r="R167" s="365"/>
      <c r="S167" s="361"/>
      <c r="T167" s="365"/>
      <c r="U167" s="361"/>
      <c r="V167" s="365"/>
      <c r="W167" s="361"/>
      <c r="X167" s="365"/>
      <c r="Y167" s="361"/>
      <c r="Z167" s="365"/>
      <c r="AA167" s="361"/>
      <c r="AB167" s="365"/>
      <c r="AC167" s="361"/>
      <c r="AD167" s="365"/>
      <c r="AE167" s="361"/>
      <c r="AF167" s="365"/>
    </row>
    <row r="168" spans="1:32" ht="13.5" thickBot="1">
      <c r="A168" s="248" t="s">
        <v>96</v>
      </c>
      <c r="B168" s="249" t="s">
        <v>87</v>
      </c>
      <c r="C168" s="137"/>
      <c r="D168" s="138" t="s">
        <v>110</v>
      </c>
      <c r="E168" s="137"/>
      <c r="F168" s="138" t="s">
        <v>110</v>
      </c>
      <c r="G168" s="137"/>
      <c r="H168" s="138" t="s">
        <v>110</v>
      </c>
      <c r="I168" s="137"/>
      <c r="J168" s="138" t="s">
        <v>110</v>
      </c>
      <c r="K168" s="137"/>
      <c r="L168" s="138" t="s">
        <v>110</v>
      </c>
      <c r="M168" s="137"/>
      <c r="N168" s="138" t="s">
        <v>110</v>
      </c>
      <c r="O168" s="137"/>
      <c r="P168" s="138" t="s">
        <v>110</v>
      </c>
      <c r="Q168" s="137"/>
      <c r="R168" s="138" t="s">
        <v>110</v>
      </c>
      <c r="S168" s="137"/>
      <c r="T168" s="138" t="s">
        <v>110</v>
      </c>
      <c r="U168" s="137"/>
      <c r="V168" s="138" t="s">
        <v>110</v>
      </c>
      <c r="W168" s="137"/>
      <c r="X168" s="138" t="s">
        <v>110</v>
      </c>
      <c r="Y168" s="137"/>
      <c r="Z168" s="138" t="s">
        <v>110</v>
      </c>
      <c r="AA168" s="137"/>
      <c r="AB168" s="138" t="s">
        <v>110</v>
      </c>
      <c r="AC168" s="137"/>
      <c r="AD168" s="138" t="s">
        <v>110</v>
      </c>
      <c r="AE168" s="137"/>
      <c r="AF168" s="138" t="s">
        <v>110</v>
      </c>
    </row>
    <row r="169" spans="1:32" ht="14.25" customHeight="1" thickBot="1">
      <c r="A169" s="246" t="str">
        <f>IF(Metric,"1.5mm HDEP Liner","60 mil HDPE Liner")</f>
        <v>1.5mm HDEP Liner</v>
      </c>
      <c r="B169" s="247" t="str">
        <f>IF(Metric,"m2","S.F.")</f>
        <v>m2</v>
      </c>
      <c r="C169" s="52"/>
      <c r="D169" s="373">
        <v>11.69</v>
      </c>
      <c r="E169" s="52"/>
      <c r="F169" s="489">
        <v>9.69</v>
      </c>
      <c r="G169" s="52"/>
      <c r="H169" s="373"/>
      <c r="I169" s="52"/>
      <c r="J169" s="373"/>
      <c r="K169" s="52"/>
      <c r="L169" s="373"/>
      <c r="M169" s="52"/>
      <c r="N169" s="373"/>
      <c r="O169" s="52"/>
      <c r="P169" s="373"/>
      <c r="Q169" s="52"/>
      <c r="R169" s="373"/>
      <c r="S169" s="52"/>
      <c r="T169" s="373"/>
      <c r="U169" s="52"/>
      <c r="V169" s="373"/>
      <c r="W169" s="52"/>
      <c r="X169" s="373"/>
      <c r="Y169" s="52"/>
      <c r="Z169" s="373"/>
      <c r="AA169" s="52"/>
      <c r="AB169" s="373"/>
      <c r="AC169" s="52"/>
      <c r="AD169" s="373"/>
      <c r="AE169" s="52"/>
      <c r="AF169" s="373"/>
    </row>
    <row r="170" spans="1:32" ht="16.5" thickBot="1">
      <c r="A170" s="63" t="s">
        <v>312</v>
      </c>
      <c r="B170" s="44"/>
      <c r="C170" s="43"/>
      <c r="D170" s="45"/>
      <c r="E170" s="43"/>
      <c r="F170" s="45"/>
      <c r="G170" s="43"/>
      <c r="H170" s="45"/>
      <c r="I170" s="43"/>
      <c r="J170" s="45"/>
      <c r="K170" s="43"/>
      <c r="L170" s="45"/>
      <c r="M170" s="43"/>
      <c r="N170" s="45"/>
      <c r="O170" s="43"/>
      <c r="P170" s="45"/>
      <c r="Q170" s="43"/>
      <c r="R170" s="45"/>
      <c r="S170" s="43"/>
      <c r="T170" s="45"/>
      <c r="U170" s="43"/>
      <c r="V170" s="45"/>
      <c r="W170" s="43"/>
      <c r="X170" s="45"/>
      <c r="Y170" s="43"/>
      <c r="Z170" s="45"/>
      <c r="AA170" s="43"/>
      <c r="AB170" s="45"/>
      <c r="AC170" s="43"/>
      <c r="AD170" s="45"/>
      <c r="AE170" s="43"/>
      <c r="AF170" s="45"/>
    </row>
    <row r="171" spans="1:32" ht="13.5" thickBot="1">
      <c r="A171" s="127" t="s">
        <v>96</v>
      </c>
      <c r="B171" s="134" t="s">
        <v>87</v>
      </c>
      <c r="C171" s="137"/>
      <c r="D171" s="138" t="s">
        <v>110</v>
      </c>
      <c r="E171" s="137"/>
      <c r="F171" s="138" t="s">
        <v>110</v>
      </c>
      <c r="G171" s="137"/>
      <c r="H171" s="138" t="s">
        <v>110</v>
      </c>
      <c r="I171" s="137"/>
      <c r="J171" s="138" t="s">
        <v>110</v>
      </c>
      <c r="K171" s="137"/>
      <c r="L171" s="138" t="s">
        <v>110</v>
      </c>
      <c r="M171" s="137"/>
      <c r="N171" s="138" t="s">
        <v>110</v>
      </c>
      <c r="O171" s="137"/>
      <c r="P171" s="138" t="s">
        <v>110</v>
      </c>
      <c r="Q171" s="137"/>
      <c r="R171" s="138" t="s">
        <v>110</v>
      </c>
      <c r="S171" s="137"/>
      <c r="T171" s="138" t="s">
        <v>110</v>
      </c>
      <c r="U171" s="137"/>
      <c r="V171" s="138" t="s">
        <v>110</v>
      </c>
      <c r="W171" s="137"/>
      <c r="X171" s="138" t="s">
        <v>110</v>
      </c>
      <c r="Y171" s="137"/>
      <c r="Z171" s="138" t="s">
        <v>110</v>
      </c>
      <c r="AA171" s="137"/>
      <c r="AB171" s="138" t="s">
        <v>110</v>
      </c>
      <c r="AC171" s="137"/>
      <c r="AD171" s="138" t="s">
        <v>110</v>
      </c>
      <c r="AE171" s="137"/>
      <c r="AF171" s="138" t="s">
        <v>110</v>
      </c>
    </row>
    <row r="172" spans="1:32" ht="14.25" customHeight="1">
      <c r="A172" s="53" t="s">
        <v>313</v>
      </c>
      <c r="B172" s="141" t="s">
        <v>315</v>
      </c>
      <c r="C172" s="52"/>
      <c r="D172" s="357">
        <v>625</v>
      </c>
      <c r="E172" s="52"/>
      <c r="F172" s="476">
        <v>625</v>
      </c>
      <c r="G172" s="52"/>
      <c r="H172" s="357"/>
      <c r="I172" s="52"/>
      <c r="J172" s="357"/>
      <c r="K172" s="52"/>
      <c r="L172" s="357"/>
      <c r="M172" s="52"/>
      <c r="N172" s="357"/>
      <c r="O172" s="52"/>
      <c r="P172" s="357"/>
      <c r="Q172" s="52"/>
      <c r="R172" s="357"/>
      <c r="S172" s="52"/>
      <c r="T172" s="357"/>
      <c r="U172" s="52"/>
      <c r="V172" s="357"/>
      <c r="W172" s="52"/>
      <c r="X172" s="357"/>
      <c r="Y172" s="52"/>
      <c r="Z172" s="357"/>
      <c r="AA172" s="52"/>
      <c r="AB172" s="357"/>
      <c r="AC172" s="52"/>
      <c r="AD172" s="357"/>
      <c r="AE172" s="52"/>
      <c r="AF172" s="357"/>
    </row>
    <row r="173" spans="1:32" ht="14.25" customHeight="1">
      <c r="A173" s="53" t="s">
        <v>314</v>
      </c>
      <c r="B173" s="141" t="s">
        <v>315</v>
      </c>
      <c r="C173" s="52"/>
      <c r="D173" s="330">
        <v>315</v>
      </c>
      <c r="E173" s="52"/>
      <c r="F173" s="480">
        <v>315</v>
      </c>
      <c r="G173" s="52"/>
      <c r="H173" s="330"/>
      <c r="I173" s="52"/>
      <c r="J173" s="330"/>
      <c r="K173" s="52"/>
      <c r="L173" s="330"/>
      <c r="M173" s="52"/>
      <c r="N173" s="330"/>
      <c r="O173" s="52"/>
      <c r="P173" s="330"/>
      <c r="Q173" s="52"/>
      <c r="R173" s="330"/>
      <c r="S173" s="52"/>
      <c r="T173" s="330"/>
      <c r="U173" s="52"/>
      <c r="V173" s="330"/>
      <c r="W173" s="52"/>
      <c r="X173" s="330"/>
      <c r="Y173" s="52"/>
      <c r="Z173" s="330"/>
      <c r="AA173" s="52"/>
      <c r="AB173" s="330"/>
      <c r="AC173" s="52"/>
      <c r="AD173" s="330"/>
      <c r="AE173" s="52"/>
      <c r="AF173" s="330"/>
    </row>
    <row r="174" spans="1:32" ht="13.5" thickBot="1">
      <c r="A174" s="242"/>
      <c r="B174" s="243"/>
      <c r="C174" s="107"/>
      <c r="D174" s="70"/>
      <c r="E174" s="107"/>
      <c r="F174" s="70"/>
      <c r="G174" s="107"/>
      <c r="H174" s="70"/>
      <c r="I174" s="107"/>
      <c r="J174" s="70"/>
      <c r="K174" s="107"/>
      <c r="L174" s="70"/>
      <c r="M174" s="107"/>
      <c r="N174" s="70"/>
      <c r="O174" s="107"/>
      <c r="P174" s="70"/>
      <c r="Q174" s="107"/>
      <c r="R174" s="70"/>
      <c r="S174" s="107"/>
      <c r="T174" s="70"/>
      <c r="U174" s="107"/>
      <c r="V174" s="70"/>
      <c r="W174" s="107"/>
      <c r="X174" s="70"/>
      <c r="Y174" s="107"/>
      <c r="Z174" s="70"/>
      <c r="AA174" s="107"/>
      <c r="AB174" s="70"/>
      <c r="AC174" s="107"/>
      <c r="AD174" s="70"/>
      <c r="AE174" s="107"/>
      <c r="AF174" s="70"/>
    </row>
    <row r="175" spans="1:32" ht="16.5" thickBot="1">
      <c r="A175" s="112" t="s">
        <v>167</v>
      </c>
      <c r="B175" s="114"/>
      <c r="C175" s="113"/>
      <c r="D175" s="114"/>
      <c r="E175" s="113"/>
      <c r="F175" s="114"/>
      <c r="G175" s="113"/>
      <c r="H175" s="114"/>
      <c r="I175" s="113"/>
      <c r="J175" s="114"/>
      <c r="K175" s="113"/>
      <c r="L175" s="114"/>
      <c r="M175" s="113"/>
      <c r="N175" s="114"/>
      <c r="O175" s="113"/>
      <c r="P175" s="114"/>
      <c r="Q175" s="113"/>
      <c r="R175" s="114"/>
      <c r="S175" s="113"/>
      <c r="T175" s="114"/>
      <c r="U175" s="113"/>
      <c r="V175" s="114"/>
      <c r="W175" s="113"/>
      <c r="X175" s="114"/>
      <c r="Y175" s="113"/>
      <c r="Z175" s="114"/>
      <c r="AA175" s="113"/>
      <c r="AB175" s="114"/>
      <c r="AC175" s="113"/>
      <c r="AD175" s="114"/>
      <c r="AE175" s="113"/>
      <c r="AF175" s="114"/>
    </row>
    <row r="176" spans="1:32" ht="13.5" thickBot="1">
      <c r="A176" s="127" t="s">
        <v>96</v>
      </c>
      <c r="B176" s="134" t="s">
        <v>87</v>
      </c>
      <c r="C176" s="137" t="s">
        <v>40</v>
      </c>
      <c r="D176" s="138" t="s">
        <v>28</v>
      </c>
      <c r="E176" s="137" t="s">
        <v>40</v>
      </c>
      <c r="F176" s="138" t="s">
        <v>28</v>
      </c>
      <c r="G176" s="137" t="s">
        <v>40</v>
      </c>
      <c r="H176" s="138" t="s">
        <v>28</v>
      </c>
      <c r="I176" s="137" t="s">
        <v>40</v>
      </c>
      <c r="J176" s="138" t="s">
        <v>28</v>
      </c>
      <c r="K176" s="137" t="s">
        <v>40</v>
      </c>
      <c r="L176" s="138" t="s">
        <v>28</v>
      </c>
      <c r="M176" s="137" t="s">
        <v>40</v>
      </c>
      <c r="N176" s="138" t="s">
        <v>28</v>
      </c>
      <c r="O176" s="137" t="s">
        <v>40</v>
      </c>
      <c r="P176" s="138" t="s">
        <v>28</v>
      </c>
      <c r="Q176" s="137" t="s">
        <v>40</v>
      </c>
      <c r="R176" s="138" t="s">
        <v>28</v>
      </c>
      <c r="S176" s="137" t="s">
        <v>40</v>
      </c>
      <c r="T176" s="138" t="s">
        <v>28</v>
      </c>
      <c r="U176" s="137" t="s">
        <v>40</v>
      </c>
      <c r="V176" s="138" t="s">
        <v>28</v>
      </c>
      <c r="W176" s="137" t="s">
        <v>40</v>
      </c>
      <c r="X176" s="138" t="s">
        <v>28</v>
      </c>
      <c r="Y176" s="137" t="s">
        <v>40</v>
      </c>
      <c r="Z176" s="138" t="s">
        <v>28</v>
      </c>
      <c r="AA176" s="137" t="s">
        <v>40</v>
      </c>
      <c r="AB176" s="138" t="s">
        <v>28</v>
      </c>
      <c r="AC176" s="137" t="s">
        <v>40</v>
      </c>
      <c r="AD176" s="138" t="s">
        <v>28</v>
      </c>
      <c r="AE176" s="137" t="s">
        <v>40</v>
      </c>
      <c r="AF176" s="138" t="s">
        <v>28</v>
      </c>
    </row>
    <row r="177" spans="1:32" ht="16.5" thickBot="1">
      <c r="A177" s="63" t="s">
        <v>168</v>
      </c>
      <c r="B177" s="45"/>
      <c r="C177" s="43"/>
      <c r="D177" s="45"/>
      <c r="E177" s="43"/>
      <c r="F177" s="45"/>
      <c r="G177" s="43"/>
      <c r="H177" s="45"/>
      <c r="I177" s="43"/>
      <c r="J177" s="45"/>
      <c r="K177" s="43"/>
      <c r="L177" s="45"/>
      <c r="M177" s="43"/>
      <c r="N177" s="45"/>
      <c r="O177" s="43"/>
      <c r="P177" s="45"/>
      <c r="Q177" s="43"/>
      <c r="R177" s="45"/>
      <c r="S177" s="43"/>
      <c r="T177" s="45"/>
      <c r="U177" s="43"/>
      <c r="V177" s="45"/>
      <c r="W177" s="43"/>
      <c r="X177" s="45"/>
      <c r="Y177" s="43"/>
      <c r="Z177" s="45"/>
      <c r="AA177" s="43"/>
      <c r="AB177" s="45"/>
      <c r="AC177" s="43"/>
      <c r="AD177" s="45"/>
      <c r="AE177" s="43"/>
      <c r="AF177" s="45"/>
    </row>
    <row r="178" spans="1:32" ht="14.25" customHeight="1">
      <c r="A178" s="131" t="s">
        <v>169</v>
      </c>
      <c r="B178" s="141" t="str">
        <f>IF(Metric,"m to pump","ft to pump")</f>
        <v>m to pump</v>
      </c>
      <c r="C178" s="360">
        <v>4.34</v>
      </c>
      <c r="D178" s="374">
        <v>7.26</v>
      </c>
      <c r="E178" s="475">
        <v>4.34</v>
      </c>
      <c r="F178" s="490">
        <v>7.26</v>
      </c>
      <c r="G178" s="360"/>
      <c r="H178" s="374"/>
      <c r="I178" s="360"/>
      <c r="J178" s="374"/>
      <c r="K178" s="360"/>
      <c r="L178" s="374"/>
      <c r="M178" s="360"/>
      <c r="N178" s="374"/>
      <c r="O178" s="360"/>
      <c r="P178" s="374"/>
      <c r="Q178" s="360"/>
      <c r="R178" s="374"/>
      <c r="S178" s="360"/>
      <c r="T178" s="374"/>
      <c r="U178" s="360"/>
      <c r="V178" s="374"/>
      <c r="W178" s="360"/>
      <c r="X178" s="374"/>
      <c r="Y178" s="360"/>
      <c r="Z178" s="374"/>
      <c r="AA178" s="360"/>
      <c r="AB178" s="374"/>
      <c r="AC178" s="360"/>
      <c r="AD178" s="374"/>
      <c r="AE178" s="360"/>
      <c r="AF178" s="374"/>
    </row>
    <row r="179" spans="1:32" ht="14.25" customHeight="1">
      <c r="A179" s="131" t="s">
        <v>170</v>
      </c>
      <c r="B179" s="141" t="str">
        <f>IF(Metric,"m to pump","ft to pump")</f>
        <v>m to pump</v>
      </c>
      <c r="C179" s="361">
        <v>8.73</v>
      </c>
      <c r="D179" s="374">
        <v>16.95</v>
      </c>
      <c r="E179" s="479">
        <v>8.73</v>
      </c>
      <c r="F179" s="490">
        <v>16.95</v>
      </c>
      <c r="G179" s="361"/>
      <c r="H179" s="374"/>
      <c r="I179" s="361"/>
      <c r="J179" s="374"/>
      <c r="K179" s="361"/>
      <c r="L179" s="374"/>
      <c r="M179" s="361"/>
      <c r="N179" s="374"/>
      <c r="O179" s="361"/>
      <c r="P179" s="374"/>
      <c r="Q179" s="361"/>
      <c r="R179" s="374"/>
      <c r="S179" s="361"/>
      <c r="T179" s="374"/>
      <c r="U179" s="361"/>
      <c r="V179" s="374"/>
      <c r="W179" s="361"/>
      <c r="X179" s="374"/>
      <c r="Y179" s="361"/>
      <c r="Z179" s="374"/>
      <c r="AA179" s="361"/>
      <c r="AB179" s="374"/>
      <c r="AC179" s="361"/>
      <c r="AD179" s="374"/>
      <c r="AE179" s="361"/>
      <c r="AF179" s="374"/>
    </row>
    <row r="180" spans="1:32">
      <c r="A180" s="100"/>
      <c r="B180" s="38"/>
      <c r="C180" s="100"/>
      <c r="D180" s="38"/>
      <c r="E180" s="100"/>
      <c r="F180" s="38"/>
      <c r="G180" s="100"/>
      <c r="H180" s="38"/>
      <c r="I180" s="100"/>
      <c r="J180" s="38"/>
      <c r="K180" s="100"/>
      <c r="L180" s="38"/>
      <c r="M180" s="100"/>
      <c r="N180" s="38"/>
      <c r="O180" s="100"/>
      <c r="P180" s="38"/>
      <c r="Q180" s="100"/>
      <c r="R180" s="38"/>
      <c r="S180" s="100"/>
      <c r="T180" s="38"/>
      <c r="U180" s="100"/>
      <c r="V180" s="38"/>
      <c r="W180" s="100"/>
      <c r="X180" s="38"/>
      <c r="Y180" s="100"/>
      <c r="Z180" s="38"/>
      <c r="AA180" s="100"/>
      <c r="AB180" s="38"/>
      <c r="AC180" s="100"/>
      <c r="AD180" s="38"/>
      <c r="AE180" s="100"/>
      <c r="AF180" s="38"/>
    </row>
    <row r="181" spans="1:32" ht="15">
      <c r="A181" s="125" t="s">
        <v>79</v>
      </c>
      <c r="B181" s="142"/>
      <c r="C181" s="421"/>
      <c r="D181" s="422"/>
      <c r="E181" s="421"/>
      <c r="F181" s="422"/>
      <c r="G181" s="421"/>
      <c r="H181" s="422"/>
      <c r="I181" s="421"/>
      <c r="J181" s="422"/>
      <c r="K181" s="421"/>
      <c r="L181" s="422"/>
      <c r="M181" s="140"/>
      <c r="N181" s="38"/>
      <c r="O181" s="140"/>
      <c r="P181" s="38"/>
      <c r="Q181" s="140"/>
      <c r="R181" s="38"/>
      <c r="S181" s="140"/>
      <c r="T181" s="38"/>
      <c r="U181" s="140"/>
      <c r="V181" s="38"/>
      <c r="W181" s="140"/>
      <c r="X181" s="38"/>
      <c r="Y181" s="140"/>
      <c r="Z181" s="38"/>
      <c r="AA181" s="140"/>
      <c r="AB181" s="38"/>
      <c r="AC181" s="140"/>
      <c r="AD181" s="38"/>
      <c r="AE181" s="140"/>
      <c r="AF181" s="38"/>
    </row>
    <row r="182" spans="1:32" ht="26.25" customHeight="1" thickBot="1">
      <c r="A182" s="657" t="s">
        <v>205</v>
      </c>
      <c r="B182" s="667"/>
      <c r="C182" s="668"/>
      <c r="D182" s="669"/>
      <c r="E182" s="668"/>
      <c r="F182" s="669"/>
      <c r="G182" s="668"/>
      <c r="H182" s="669"/>
      <c r="I182" s="668"/>
      <c r="J182" s="669"/>
      <c r="K182" s="668"/>
      <c r="L182" s="669"/>
      <c r="M182" s="635"/>
      <c r="N182" s="636"/>
      <c r="O182" s="635"/>
      <c r="P182" s="636"/>
      <c r="Q182" s="635"/>
      <c r="R182" s="636"/>
      <c r="S182" s="635"/>
      <c r="T182" s="636"/>
      <c r="U182" s="635"/>
      <c r="V182" s="636"/>
      <c r="W182" s="635"/>
      <c r="X182" s="636"/>
      <c r="Y182" s="635"/>
      <c r="Z182" s="636"/>
      <c r="AA182" s="635"/>
      <c r="AB182" s="636"/>
      <c r="AC182" s="635"/>
      <c r="AD182" s="636"/>
      <c r="AE182" s="635"/>
      <c r="AF182" s="636"/>
    </row>
    <row r="183" spans="1:32" ht="26.25" customHeight="1"/>
  </sheetData>
  <sheetProtection password="E51C" sheet="1" objects="1" scenarios="1"/>
  <protectedRanges>
    <protectedRange password="8CE6" sqref="AE169 C169 E169 G169 I169 K169 M169 O169 Q169 S169 U169 W169 Y169 AA169 AC169 C172:AF173" name="ConstrMgmt"/>
    <protectedRange password="8CE6" sqref="C14:L15 C17:AF19 M12:AF15 C22:AF25" name="RevegCosts"/>
    <protectedRange password="8CE6" sqref="C84:AF87 C90:AF93 M96:AF97" name="UGCostTable"/>
    <protectedRange password="8CE6" sqref="C172:AF173 C169:AF169 C166:AF167 C157:AF163 C140:AF141 C144 E144 G144 I144 K144 M144 O144 Q144 S144 U144 W144 Y144 AA144 AC144 AE144" name="ErosionCosts"/>
    <protectedRange password="8CE6" sqref="M182:AF182 C178:AF179" name="PumpRemoval"/>
    <protectedRange password="8CE6" sqref="C29:AF36 C38:AF45" name="DemoCosts"/>
    <protectedRange password="8CE6" sqref="C49:AF52 C64:AF65 C75:AF76 C67:AF69 C58:AF61 C55:AF56 C72:AF73 C79:AF80" name="Waste"/>
    <protectedRange password="8CE6" sqref="AI29:AK36" name="DemoCosts_1"/>
    <protectedRange password="8CE6" sqref="C12:L13" name="RevegCosts_1"/>
    <protectedRange password="8CE6" sqref="C96:L97" name="UGCostTable_1"/>
  </protectedRanges>
  <dataConsolidate/>
  <mergeCells count="313">
    <mergeCell ref="AC182:AD182"/>
    <mergeCell ref="AE182:AF182"/>
    <mergeCell ref="U182:V182"/>
    <mergeCell ref="W182:X182"/>
    <mergeCell ref="Y182:Z182"/>
    <mergeCell ref="AA182:AB182"/>
    <mergeCell ref="Q182:R182"/>
    <mergeCell ref="S182:T182"/>
    <mergeCell ref="B3:C3"/>
    <mergeCell ref="B4:C4"/>
    <mergeCell ref="A8:B9"/>
    <mergeCell ref="A182:B182"/>
    <mergeCell ref="C182:D182"/>
    <mergeCell ref="C23:D23"/>
    <mergeCell ref="C24:D24"/>
    <mergeCell ref="C25:D25"/>
    <mergeCell ref="E182:F182"/>
    <mergeCell ref="G182:H182"/>
    <mergeCell ref="I182:J182"/>
    <mergeCell ref="K182:L182"/>
    <mergeCell ref="M182:N182"/>
    <mergeCell ref="O182:P182"/>
    <mergeCell ref="A23:B23"/>
    <mergeCell ref="Y8:Z8"/>
    <mergeCell ref="W8:X8"/>
    <mergeCell ref="U8:V8"/>
    <mergeCell ref="S8:T8"/>
    <mergeCell ref="Q8:R8"/>
    <mergeCell ref="O8:P8"/>
    <mergeCell ref="M8:N8"/>
    <mergeCell ref="K8:L8"/>
    <mergeCell ref="W9:X9"/>
    <mergeCell ref="Y9:Z9"/>
    <mergeCell ref="AA9:AB9"/>
    <mergeCell ref="AC9:AD9"/>
    <mergeCell ref="AE9:AF9"/>
    <mergeCell ref="AE8:AF8"/>
    <mergeCell ref="AC8:AD8"/>
    <mergeCell ref="AA8:AB8"/>
    <mergeCell ref="A22:B22"/>
    <mergeCell ref="C9:D9"/>
    <mergeCell ref="G8:H8"/>
    <mergeCell ref="E22:F22"/>
    <mergeCell ref="I22:J22"/>
    <mergeCell ref="K22:L22"/>
    <mergeCell ref="U9:V9"/>
    <mergeCell ref="I9:J9"/>
    <mergeCell ref="K9:L9"/>
    <mergeCell ref="M9:N9"/>
    <mergeCell ref="O9:P9"/>
    <mergeCell ref="Q9:R9"/>
    <mergeCell ref="S9:T9"/>
    <mergeCell ref="E8:F8"/>
    <mergeCell ref="C8:D8"/>
    <mergeCell ref="E9:F9"/>
    <mergeCell ref="G9:H9"/>
    <mergeCell ref="I8:J8"/>
    <mergeCell ref="C22:D22"/>
    <mergeCell ref="E23:F23"/>
    <mergeCell ref="M22:N22"/>
    <mergeCell ref="O22:P22"/>
    <mergeCell ref="Q22:R22"/>
    <mergeCell ref="G22:H22"/>
    <mergeCell ref="G23:H23"/>
    <mergeCell ref="E24:F24"/>
    <mergeCell ref="G24:H24"/>
    <mergeCell ref="M23:N23"/>
    <mergeCell ref="O23:P23"/>
    <mergeCell ref="I24:J24"/>
    <mergeCell ref="K24:L24"/>
    <mergeCell ref="M24:N24"/>
    <mergeCell ref="O24:P24"/>
    <mergeCell ref="I23:J23"/>
    <mergeCell ref="K23:L23"/>
    <mergeCell ref="Q23:R23"/>
    <mergeCell ref="S23:T23"/>
    <mergeCell ref="U23:V23"/>
    <mergeCell ref="G25:H25"/>
    <mergeCell ref="S22:T22"/>
    <mergeCell ref="I25:J25"/>
    <mergeCell ref="K25:L25"/>
    <mergeCell ref="M25:N25"/>
    <mergeCell ref="O25:P25"/>
    <mergeCell ref="U25:V25"/>
    <mergeCell ref="Q25:R25"/>
    <mergeCell ref="Q24:R24"/>
    <mergeCell ref="AE23:AF23"/>
    <mergeCell ref="Y23:Z23"/>
    <mergeCell ref="AA23:AB23"/>
    <mergeCell ref="AC22:AD22"/>
    <mergeCell ref="AE22:AF22"/>
    <mergeCell ref="AC23:AD23"/>
    <mergeCell ref="W23:X23"/>
    <mergeCell ref="AA24:AB24"/>
    <mergeCell ref="S25:T25"/>
    <mergeCell ref="S24:T24"/>
    <mergeCell ref="AE25:AF25"/>
    <mergeCell ref="W25:X25"/>
    <mergeCell ref="AC24:AD24"/>
    <mergeCell ref="AE24:AF24"/>
    <mergeCell ref="Y25:Z25"/>
    <mergeCell ref="AA25:AB25"/>
    <mergeCell ref="AC25:AD25"/>
    <mergeCell ref="Y24:Z24"/>
    <mergeCell ref="W24:X24"/>
    <mergeCell ref="Y22:Z22"/>
    <mergeCell ref="AA22:AB22"/>
    <mergeCell ref="U22:V22"/>
    <mergeCell ref="W22:X22"/>
    <mergeCell ref="U24:V24"/>
    <mergeCell ref="A96:B96"/>
    <mergeCell ref="C96:D96"/>
    <mergeCell ref="E96:F96"/>
    <mergeCell ref="G96:H96"/>
    <mergeCell ref="I96:J96"/>
    <mergeCell ref="K96:L96"/>
    <mergeCell ref="C55:D55"/>
    <mergeCell ref="E55:F55"/>
    <mergeCell ref="G55:H55"/>
    <mergeCell ref="I55:J55"/>
    <mergeCell ref="C56:D56"/>
    <mergeCell ref="E56:F56"/>
    <mergeCell ref="G56:H56"/>
    <mergeCell ref="I56:J56"/>
    <mergeCell ref="K56:L56"/>
    <mergeCell ref="K55:L55"/>
    <mergeCell ref="C64:D64"/>
    <mergeCell ref="E64:F64"/>
    <mergeCell ref="G64:H64"/>
    <mergeCell ref="E65:F65"/>
    <mergeCell ref="C72:D72"/>
    <mergeCell ref="C73:D73"/>
    <mergeCell ref="E73:F73"/>
    <mergeCell ref="G73:H73"/>
    <mergeCell ref="A24:B24"/>
    <mergeCell ref="A25:B25"/>
    <mergeCell ref="E25:F25"/>
    <mergeCell ref="Y96:Z96"/>
    <mergeCell ref="O56:P56"/>
    <mergeCell ref="Q96:R96"/>
    <mergeCell ref="M79:N79"/>
    <mergeCell ref="Y65:Z65"/>
    <mergeCell ref="W72:X72"/>
    <mergeCell ref="S65:T65"/>
    <mergeCell ref="U65:V65"/>
    <mergeCell ref="W64:X64"/>
    <mergeCell ref="M96:N96"/>
    <mergeCell ref="O96:P96"/>
    <mergeCell ref="Q56:R56"/>
    <mergeCell ref="Q79:R79"/>
    <mergeCell ref="S79:T79"/>
    <mergeCell ref="M80:N80"/>
    <mergeCell ref="O80:P80"/>
    <mergeCell ref="K79:L79"/>
    <mergeCell ref="M56:N56"/>
    <mergeCell ref="O55:P55"/>
    <mergeCell ref="Q64:R64"/>
    <mergeCell ref="U64:V64"/>
    <mergeCell ref="A97:B97"/>
    <mergeCell ref="C97:D97"/>
    <mergeCell ref="E97:F97"/>
    <mergeCell ref="G97:H97"/>
    <mergeCell ref="U152:V152"/>
    <mergeCell ref="O151:P151"/>
    <mergeCell ref="A151:B151"/>
    <mergeCell ref="C151:D151"/>
    <mergeCell ref="E151:F151"/>
    <mergeCell ref="G151:H151"/>
    <mergeCell ref="S97:T97"/>
    <mergeCell ref="U97:V97"/>
    <mergeCell ref="Q97:R97"/>
    <mergeCell ref="M152:N152"/>
    <mergeCell ref="S152:T152"/>
    <mergeCell ref="O97:P97"/>
    <mergeCell ref="M97:N97"/>
    <mergeCell ref="K97:L97"/>
    <mergeCell ref="I97:J97"/>
    <mergeCell ref="U151:V151"/>
    <mergeCell ref="I151:J151"/>
    <mergeCell ref="U153:V153"/>
    <mergeCell ref="AA153:AB153"/>
    <mergeCell ref="C153:D153"/>
    <mergeCell ref="M153:N153"/>
    <mergeCell ref="O153:P153"/>
    <mergeCell ref="Q153:R153"/>
    <mergeCell ref="S153:T153"/>
    <mergeCell ref="I153:J153"/>
    <mergeCell ref="A152:B152"/>
    <mergeCell ref="C152:D152"/>
    <mergeCell ref="K153:L153"/>
    <mergeCell ref="E152:F152"/>
    <mergeCell ref="G152:H152"/>
    <mergeCell ref="I152:J152"/>
    <mergeCell ref="K152:L152"/>
    <mergeCell ref="A153:B153"/>
    <mergeCell ref="E153:F153"/>
    <mergeCell ref="G153:H153"/>
    <mergeCell ref="Y152:Z152"/>
    <mergeCell ref="AA152:AB152"/>
    <mergeCell ref="AC152:AD152"/>
    <mergeCell ref="AC151:AD151"/>
    <mergeCell ref="AE151:AF151"/>
    <mergeCell ref="Y151:Z151"/>
    <mergeCell ref="AA151:AB151"/>
    <mergeCell ref="W151:X151"/>
    <mergeCell ref="AE153:AF153"/>
    <mergeCell ref="AC153:AD153"/>
    <mergeCell ref="W153:X153"/>
    <mergeCell ref="Y153:Z153"/>
    <mergeCell ref="S64:T64"/>
    <mergeCell ref="S80:T80"/>
    <mergeCell ref="AE55:AF55"/>
    <mergeCell ref="Q152:R152"/>
    <mergeCell ref="O152:P152"/>
    <mergeCell ref="AA80:AB80"/>
    <mergeCell ref="AC80:AD80"/>
    <mergeCell ref="AE80:AF80"/>
    <mergeCell ref="AE56:AF56"/>
    <mergeCell ref="AE72:AF72"/>
    <mergeCell ref="AE73:AF73"/>
    <mergeCell ref="AA79:AB79"/>
    <mergeCell ref="AC55:AD55"/>
    <mergeCell ref="AC64:AD64"/>
    <mergeCell ref="AE79:AF79"/>
    <mergeCell ref="AC79:AD79"/>
    <mergeCell ref="AE97:AF97"/>
    <mergeCell ref="W97:X97"/>
    <mergeCell ref="Y97:Z97"/>
    <mergeCell ref="AA97:AB97"/>
    <mergeCell ref="AC97:AD97"/>
    <mergeCell ref="AE96:AF96"/>
    <mergeCell ref="AE152:AF152"/>
    <mergeCell ref="W152:X152"/>
    <mergeCell ref="AC96:AD96"/>
    <mergeCell ref="Y55:Z55"/>
    <mergeCell ref="AA55:AB55"/>
    <mergeCell ref="AA96:AB96"/>
    <mergeCell ref="AE64:AF64"/>
    <mergeCell ref="AC65:AD65"/>
    <mergeCell ref="AC72:AD72"/>
    <mergeCell ref="AE65:AF65"/>
    <mergeCell ref="AA73:AB73"/>
    <mergeCell ref="AC73:AD73"/>
    <mergeCell ref="AC56:AD56"/>
    <mergeCell ref="Y64:Z64"/>
    <mergeCell ref="AA72:AB72"/>
    <mergeCell ref="Y72:Z72"/>
    <mergeCell ref="Y56:Z56"/>
    <mergeCell ref="AA56:AB56"/>
    <mergeCell ref="AA64:AB64"/>
    <mergeCell ref="AA65:AB65"/>
    <mergeCell ref="S55:T55"/>
    <mergeCell ref="U55:V55"/>
    <mergeCell ref="W55:X55"/>
    <mergeCell ref="W56:X56"/>
    <mergeCell ref="K151:L151"/>
    <mergeCell ref="Q151:R151"/>
    <mergeCell ref="S151:T151"/>
    <mergeCell ref="M151:N151"/>
    <mergeCell ref="W96:X96"/>
    <mergeCell ref="S96:T96"/>
    <mergeCell ref="U96:V96"/>
    <mergeCell ref="S56:T56"/>
    <mergeCell ref="Q55:R55"/>
    <mergeCell ref="W65:X65"/>
    <mergeCell ref="Q65:R65"/>
    <mergeCell ref="Q72:R72"/>
    <mergeCell ref="S72:T72"/>
    <mergeCell ref="U72:V72"/>
    <mergeCell ref="K73:L73"/>
    <mergeCell ref="M73:N73"/>
    <mergeCell ref="O73:P73"/>
    <mergeCell ref="Q73:R73"/>
    <mergeCell ref="U56:V56"/>
    <mergeCell ref="M55:N55"/>
    <mergeCell ref="O72:P72"/>
    <mergeCell ref="I64:J64"/>
    <mergeCell ref="K64:L64"/>
    <mergeCell ref="M64:N64"/>
    <mergeCell ref="C65:D65"/>
    <mergeCell ref="G65:H65"/>
    <mergeCell ref="E72:F72"/>
    <mergeCell ref="G72:H72"/>
    <mergeCell ref="I72:J72"/>
    <mergeCell ref="K72:L72"/>
    <mergeCell ref="I65:J65"/>
    <mergeCell ref="K65:L65"/>
    <mergeCell ref="M65:N65"/>
    <mergeCell ref="O65:P65"/>
    <mergeCell ref="M72:N72"/>
    <mergeCell ref="O64:P64"/>
    <mergeCell ref="I73:J73"/>
    <mergeCell ref="W80:X80"/>
    <mergeCell ref="Y80:Z80"/>
    <mergeCell ref="S73:T73"/>
    <mergeCell ref="U73:V73"/>
    <mergeCell ref="W73:X73"/>
    <mergeCell ref="Y73:Z73"/>
    <mergeCell ref="U79:V79"/>
    <mergeCell ref="K80:L80"/>
    <mergeCell ref="Q80:R80"/>
    <mergeCell ref="C80:D80"/>
    <mergeCell ref="E80:F80"/>
    <mergeCell ref="G80:H80"/>
    <mergeCell ref="I80:J80"/>
    <mergeCell ref="U80:V80"/>
    <mergeCell ref="Y79:Z79"/>
    <mergeCell ref="W79:X79"/>
    <mergeCell ref="C79:D79"/>
    <mergeCell ref="E79:F79"/>
    <mergeCell ref="G79:H79"/>
    <mergeCell ref="I79:J79"/>
    <mergeCell ref="O79:P79"/>
  </mergeCells>
  <phoneticPr fontId="10" type="noConversion"/>
  <pageMargins left="0.25" right="0.25" top="1" bottom="1" header="0.5" footer="0.5"/>
  <pageSetup paperSize="8" scale="82" fitToHeight="6" orientation="portrait" horizontalDpi="1200" verticalDpi="1200" r:id="rId1"/>
  <headerFooter alignWithMargins="0">
    <oddHeader>&amp;C&amp;"Arial,Bold"&amp;18Nevada Standardized Bond Calculation
&amp;A</oddHeader>
  </headerFooter>
  <rowBreaks count="2" manualBreakCount="2">
    <brk id="80" max="13" man="1"/>
    <brk id="153" max="13" man="1"/>
  </rowBreaks>
  <ignoredErrors>
    <ignoredError sqref="C175:J177" unlockedFormula="1"/>
    <ignoredError sqref="B6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4"/>
    <pageSetUpPr fitToPage="1"/>
  </sheetPr>
  <dimension ref="A1:F36"/>
  <sheetViews>
    <sheetView zoomScaleNormal="100" workbookViewId="0">
      <selection activeCell="A10" sqref="A10"/>
    </sheetView>
  </sheetViews>
  <sheetFormatPr defaultRowHeight="12.75"/>
  <cols>
    <col min="1" max="1" width="53.7109375" customWidth="1"/>
    <col min="2" max="6" width="15.28515625" customWidth="1"/>
  </cols>
  <sheetData>
    <row r="1" spans="1:6" ht="15.75">
      <c r="A1" s="81" t="s">
        <v>140</v>
      </c>
      <c r="B1" s="603" t="s">
        <v>235</v>
      </c>
      <c r="C1" s="604"/>
      <c r="D1" s="123"/>
      <c r="E1" s="122"/>
    </row>
    <row r="2" spans="1:6" ht="15.75">
      <c r="A2" s="82" t="s">
        <v>141</v>
      </c>
      <c r="B2" s="605">
        <v>38687</v>
      </c>
      <c r="C2" s="606"/>
      <c r="D2" s="390"/>
      <c r="E2" s="245"/>
    </row>
    <row r="3" spans="1:6" ht="15.75">
      <c r="A3" s="82" t="s">
        <v>143</v>
      </c>
      <c r="B3" s="607" t="s">
        <v>171</v>
      </c>
      <c r="C3" s="608"/>
      <c r="D3" s="390"/>
      <c r="E3" s="245"/>
    </row>
    <row r="4" spans="1:6" ht="16.5" thickBot="1">
      <c r="A4" s="83" t="s">
        <v>144</v>
      </c>
      <c r="B4" s="391" t="str">
        <f>AuthorSource</f>
        <v>AB Consulting</v>
      </c>
      <c r="C4" s="392"/>
      <c r="D4" s="392"/>
      <c r="E4" s="393"/>
    </row>
    <row r="6" spans="1:6" ht="13.5" thickBot="1"/>
    <row r="7" spans="1:6" ht="18.75" thickBot="1">
      <c r="A7" s="36" t="s">
        <v>228</v>
      </c>
      <c r="B7" s="93"/>
      <c r="C7" s="171"/>
      <c r="D7" s="171"/>
      <c r="E7" s="171"/>
      <c r="F7" s="172"/>
    </row>
    <row r="8" spans="1:6" ht="18">
      <c r="A8" s="214"/>
      <c r="B8" s="670" t="s">
        <v>236</v>
      </c>
      <c r="C8" s="671"/>
      <c r="D8" s="671"/>
      <c r="E8" s="671"/>
      <c r="F8" s="672"/>
    </row>
    <row r="9" spans="1:6">
      <c r="A9" s="215"/>
      <c r="B9" s="174" t="s">
        <v>233</v>
      </c>
      <c r="C9" s="173" t="s">
        <v>233</v>
      </c>
      <c r="D9" s="173" t="s">
        <v>233</v>
      </c>
      <c r="E9" s="173" t="s">
        <v>234</v>
      </c>
      <c r="F9" s="70"/>
    </row>
    <row r="10" spans="1:6">
      <c r="A10" s="376" t="s">
        <v>304</v>
      </c>
      <c r="B10" s="377">
        <v>500000</v>
      </c>
      <c r="C10" s="378">
        <v>2500000</v>
      </c>
      <c r="D10" s="378">
        <v>25000000</v>
      </c>
      <c r="E10" s="378">
        <v>25000000</v>
      </c>
      <c r="F10" s="342" t="s">
        <v>316</v>
      </c>
    </row>
    <row r="11" spans="1:6">
      <c r="A11" s="215" t="s">
        <v>305</v>
      </c>
      <c r="B11" s="370"/>
      <c r="C11" s="379"/>
      <c r="D11" s="598"/>
      <c r="E11" s="379"/>
      <c r="F11" s="365"/>
    </row>
    <row r="12" spans="1:6">
      <c r="A12" s="215"/>
      <c r="B12" s="174" t="s">
        <v>233</v>
      </c>
      <c r="C12" s="173" t="s">
        <v>233</v>
      </c>
      <c r="D12" s="173" t="s">
        <v>233</v>
      </c>
      <c r="E12" s="173" t="s">
        <v>234</v>
      </c>
      <c r="F12" s="70"/>
    </row>
    <row r="13" spans="1:6">
      <c r="A13" s="376" t="s">
        <v>306</v>
      </c>
      <c r="B13" s="377">
        <v>500000</v>
      </c>
      <c r="C13" s="378">
        <v>5000000</v>
      </c>
      <c r="D13" s="378">
        <v>50000000</v>
      </c>
      <c r="E13" s="378">
        <v>50000000</v>
      </c>
      <c r="F13" s="342" t="s">
        <v>316</v>
      </c>
    </row>
    <row r="14" spans="1:6">
      <c r="A14" s="215" t="s">
        <v>305</v>
      </c>
      <c r="B14" s="370">
        <v>0.03</v>
      </c>
      <c r="C14" s="379">
        <v>0.04</v>
      </c>
      <c r="D14" s="379">
        <v>0.05</v>
      </c>
      <c r="E14" s="379">
        <v>0.06</v>
      </c>
      <c r="F14" s="365">
        <v>0.02</v>
      </c>
    </row>
    <row r="15" spans="1:6">
      <c r="A15" s="376" t="s">
        <v>307</v>
      </c>
      <c r="B15" s="383">
        <v>1.4999999999999999E-2</v>
      </c>
      <c r="C15" s="53" t="s">
        <v>229</v>
      </c>
      <c r="D15" s="53"/>
      <c r="E15" s="53"/>
      <c r="F15" s="38"/>
    </row>
    <row r="16" spans="1:6">
      <c r="A16" s="376" t="s">
        <v>308</v>
      </c>
      <c r="B16" s="383">
        <v>0.03</v>
      </c>
      <c r="C16" s="53" t="s">
        <v>230</v>
      </c>
      <c r="D16" s="53"/>
      <c r="E16" s="53"/>
      <c r="F16" s="38"/>
    </row>
    <row r="17" spans="1:6">
      <c r="A17" s="376" t="s">
        <v>309</v>
      </c>
      <c r="B17" s="383">
        <v>0.1</v>
      </c>
      <c r="C17" s="53" t="s">
        <v>231</v>
      </c>
      <c r="D17" s="53"/>
      <c r="E17" s="53"/>
      <c r="F17" s="38"/>
    </row>
    <row r="18" spans="1:6">
      <c r="A18" s="215"/>
      <c r="B18" s="174" t="s">
        <v>233</v>
      </c>
      <c r="C18" s="173" t="s">
        <v>233</v>
      </c>
      <c r="D18" s="173" t="s">
        <v>233</v>
      </c>
      <c r="E18" s="173" t="s">
        <v>234</v>
      </c>
      <c r="F18" s="70"/>
    </row>
    <row r="19" spans="1:6">
      <c r="A19" s="376" t="s">
        <v>310</v>
      </c>
      <c r="B19" s="377">
        <v>1000000</v>
      </c>
      <c r="C19" s="378">
        <v>15000000</v>
      </c>
      <c r="D19" s="378">
        <v>25000000</v>
      </c>
      <c r="E19" s="378">
        <v>25000000</v>
      </c>
      <c r="F19" s="342"/>
    </row>
    <row r="20" spans="1:6">
      <c r="A20" s="215" t="s">
        <v>305</v>
      </c>
      <c r="B20" s="370"/>
      <c r="C20" s="379"/>
      <c r="D20" s="598"/>
      <c r="E20" s="379"/>
      <c r="F20" s="365"/>
    </row>
    <row r="21" spans="1:6" ht="13.5" thickBot="1">
      <c r="A21" s="380"/>
      <c r="B21" s="381"/>
      <c r="C21" s="599"/>
      <c r="D21" s="599"/>
      <c r="E21" s="165"/>
      <c r="F21" s="166"/>
    </row>
    <row r="22" spans="1:6">
      <c r="A22" s="35"/>
      <c r="B22" s="35"/>
      <c r="C22" s="35"/>
      <c r="D22" s="35"/>
      <c r="E22" s="35"/>
    </row>
    <row r="23" spans="1:6">
      <c r="A23" s="673" t="s">
        <v>232</v>
      </c>
      <c r="B23" s="673"/>
      <c r="C23" s="673"/>
      <c r="D23" s="673"/>
      <c r="E23" s="673"/>
    </row>
    <row r="24" spans="1:6" ht="24">
      <c r="A24" s="382" t="s">
        <v>395</v>
      </c>
      <c r="B24" s="167"/>
      <c r="C24" s="167"/>
      <c r="D24" s="167"/>
      <c r="E24" s="167"/>
      <c r="F24" s="170"/>
    </row>
    <row r="25" spans="1:6">
      <c r="A25" s="382"/>
      <c r="B25" s="167"/>
      <c r="C25" s="167"/>
      <c r="D25" s="167"/>
      <c r="E25" s="167"/>
    </row>
    <row r="26" spans="1:6">
      <c r="A26" s="382"/>
      <c r="B26" s="167"/>
      <c r="C26" s="167"/>
      <c r="D26" s="167"/>
      <c r="E26" s="167"/>
    </row>
    <row r="27" spans="1:6">
      <c r="A27" s="382"/>
      <c r="B27" s="167"/>
      <c r="C27" s="167"/>
      <c r="D27" s="167"/>
      <c r="E27" s="167"/>
    </row>
    <row r="28" spans="1:6">
      <c r="A28" s="382"/>
      <c r="B28" s="167"/>
      <c r="C28" s="167"/>
      <c r="D28" s="167"/>
      <c r="E28" s="167"/>
    </row>
    <row r="29" spans="1:6">
      <c r="A29" s="382"/>
      <c r="B29" s="167"/>
      <c r="C29" s="167"/>
      <c r="D29" s="167"/>
      <c r="E29" s="167"/>
    </row>
    <row r="30" spans="1:6">
      <c r="A30" s="382"/>
      <c r="B30" s="167"/>
      <c r="C30" s="167"/>
      <c r="D30" s="167"/>
      <c r="E30" s="167"/>
    </row>
    <row r="31" spans="1:6">
      <c r="A31" s="382"/>
      <c r="B31" s="167"/>
      <c r="C31" s="167"/>
      <c r="D31" s="167"/>
      <c r="E31" s="167"/>
    </row>
    <row r="32" spans="1:6">
      <c r="A32" s="382"/>
      <c r="B32" s="167"/>
      <c r="C32" s="167"/>
      <c r="D32" s="167"/>
      <c r="E32" s="167"/>
    </row>
    <row r="33" spans="1:5">
      <c r="A33" s="382"/>
      <c r="B33" s="167"/>
      <c r="C33" s="167"/>
      <c r="D33" s="167"/>
      <c r="E33" s="167"/>
    </row>
    <row r="34" spans="1:5">
      <c r="A34" s="382"/>
      <c r="B34" s="167"/>
      <c r="C34" s="167"/>
      <c r="D34" s="167"/>
      <c r="E34" s="167"/>
    </row>
    <row r="35" spans="1:5">
      <c r="A35" s="382"/>
      <c r="B35" s="167"/>
      <c r="C35" s="168"/>
      <c r="D35" s="168"/>
      <c r="E35" s="168"/>
    </row>
    <row r="36" spans="1:5">
      <c r="A36" s="382"/>
      <c r="B36" s="169"/>
      <c r="C36" s="155"/>
      <c r="D36" s="155"/>
      <c r="E36" s="155"/>
    </row>
  </sheetData>
  <sheetProtection password="E51C" sheet="1" objects="1" scenarios="1"/>
  <protectedRanges>
    <protectedRange password="8CE6" sqref="A24:A36" name="Notes"/>
    <protectedRange password="8CE6" sqref="A10:F11 A13:C17 D13:F14 A19:D21 E19:F20" name="Admin"/>
  </protectedRanges>
  <mergeCells count="5">
    <mergeCell ref="B8:F8"/>
    <mergeCell ref="A23:E23"/>
    <mergeCell ref="B1:C1"/>
    <mergeCell ref="B2:C2"/>
    <mergeCell ref="B3:C3"/>
  </mergeCells>
  <phoneticPr fontId="10" type="noConversion"/>
  <pageMargins left="0.75" right="0.75" top="1" bottom="1" header="0.5" footer="0.5"/>
  <pageSetup paperSize="9" scale="52"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1A52782CA32B45A53C612A48BFC52E" ma:contentTypeVersion="0" ma:contentTypeDescription="Create a new document." ma:contentTypeScope="" ma:versionID="477e655c44936654234bb9f00557fd67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714E9F-BE49-4E60-AD82-E781972515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3A905615-02D7-4B62-9294-EAE4F30E0D21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806F2BF-4592-48CA-A17E-DB7CFE8B13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55</vt:i4>
      </vt:variant>
    </vt:vector>
  </HeadingPairs>
  <TitlesOfParts>
    <vt:vector size="61" baseType="lpstr">
      <vt:lpstr>Source Data</vt:lpstr>
      <vt:lpstr>Equipment Costs</vt:lpstr>
      <vt:lpstr>Labor Rates</vt:lpstr>
      <vt:lpstr>Reclamation Material Costs</vt:lpstr>
      <vt:lpstr>Misc. Unit Costs</vt:lpstr>
      <vt:lpstr>Indirect Costs</vt:lpstr>
      <vt:lpstr>AllEquipRates</vt:lpstr>
      <vt:lpstr>AllLaborRates</vt:lpstr>
      <vt:lpstr>AuthorSource</vt:lpstr>
      <vt:lpstr>DataCostBasis</vt:lpstr>
      <vt:lpstr>DataFileDate</vt:lpstr>
      <vt:lpstr>DataFileName</vt:lpstr>
      <vt:lpstr>'Labor Rates'!DataSourceType</vt:lpstr>
      <vt:lpstr>DataSourceType</vt:lpstr>
      <vt:lpstr>DataUnits</vt:lpstr>
      <vt:lpstr>DemolitionCostTable</vt:lpstr>
      <vt:lpstr>'Labor Rates'!DozerRates</vt:lpstr>
      <vt:lpstr>EquipmentGETTable</vt:lpstr>
      <vt:lpstr>EquipmentOperatorLaborTable</vt:lpstr>
      <vt:lpstr>EquipmentPMTable</vt:lpstr>
      <vt:lpstr>EquipmentRateTable</vt:lpstr>
      <vt:lpstr>EquipmentTiresTable</vt:lpstr>
      <vt:lpstr>ErosionLinerCostTable</vt:lpstr>
      <vt:lpstr>FuelCostTable</vt:lpstr>
      <vt:lpstr>IndirectCostFootnotes</vt:lpstr>
      <vt:lpstr>IndirectCostTable</vt:lpstr>
      <vt:lpstr>LaborerLaborTable</vt:lpstr>
      <vt:lpstr>LinearCostTable</vt:lpstr>
      <vt:lpstr>MaintenanceCostTable</vt:lpstr>
      <vt:lpstr>Metric</vt:lpstr>
      <vt:lpstr>MiscUnitCostNames</vt:lpstr>
      <vt:lpstr>MiscUnitCostsAll</vt:lpstr>
      <vt:lpstr>MiscUnitCostsRegions</vt:lpstr>
      <vt:lpstr>MonitoringCostsTable</vt:lpstr>
      <vt:lpstr>OtherAmendmentNames</vt:lpstr>
      <vt:lpstr>OtherFenceDemoNames</vt:lpstr>
      <vt:lpstr>OtherFenceInstallNames</vt:lpstr>
      <vt:lpstr>OtherFuelCostsNames</vt:lpstr>
      <vt:lpstr>OtherLaborInfo</vt:lpstr>
      <vt:lpstr>OtherMonitoringCostsNames</vt:lpstr>
      <vt:lpstr>OtherMulchNames</vt:lpstr>
      <vt:lpstr>OtherWellAbandonmentMaterialsNames</vt:lpstr>
      <vt:lpstr>'Equipment Costs'!Print_Area</vt:lpstr>
      <vt:lpstr>'Labor Rates'!Print_Area</vt:lpstr>
      <vt:lpstr>'Misc. Unit Costs'!Print_Area</vt:lpstr>
      <vt:lpstr>'Reclamation Material Costs'!Print_Area</vt:lpstr>
      <vt:lpstr>'Equipment Costs'!Print_Titles</vt:lpstr>
      <vt:lpstr>'Labor Rates'!Print_Titles</vt:lpstr>
      <vt:lpstr>'Misc. Unit Costs'!Print_Titles</vt:lpstr>
      <vt:lpstr>ProjectManagementLaborTable</vt:lpstr>
      <vt:lpstr>RegionInformationTable</vt:lpstr>
      <vt:lpstr>RegionNames</vt:lpstr>
      <vt:lpstr>Regions</vt:lpstr>
      <vt:lpstr>RentalHours</vt:lpstr>
      <vt:lpstr>RevegetationCostTable</vt:lpstr>
      <vt:lpstr>RevegetationMaterialsTable</vt:lpstr>
      <vt:lpstr>TireCostTable</vt:lpstr>
      <vt:lpstr>TruckDriverLaborTable</vt:lpstr>
      <vt:lpstr>UGOpeningCostTable</vt:lpstr>
      <vt:lpstr>Validity</vt:lpstr>
      <vt:lpstr>WellAbandonmentMaterialsTable</vt:lpstr>
    </vt:vector>
  </TitlesOfParts>
  <Company>SRK Consulting (Canada)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Parshley</dc:creator>
  <cp:lastModifiedBy>Parshley, Jeff</cp:lastModifiedBy>
  <cp:lastPrinted>2006-10-03T16:06:43Z</cp:lastPrinted>
  <dcterms:created xsi:type="dcterms:W3CDTF">2005-09-07T03:31:38Z</dcterms:created>
  <dcterms:modified xsi:type="dcterms:W3CDTF">2017-04-26T14:18:23Z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ent">
    <vt:lpwstr>Data for Beta 3 - Public Review Version</vt:lpwstr>
  </property>
</Properties>
</file>